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4\"/>
    </mc:Choice>
  </mc:AlternateContent>
  <bookViews>
    <workbookView xWindow="-120" yWindow="-120" windowWidth="24240" windowHeight="13020"/>
  </bookViews>
  <sheets>
    <sheet name="01.04.24" sheetId="1" r:id="rId1"/>
  </sheets>
  <definedNames>
    <definedName name="_xlnm._FilterDatabase" localSheetId="0" hidden="1">'01.04.24'!$A$3:$ED$48</definedName>
    <definedName name="Z_027ED452_6E36_405C_A380_C4AAA8274A51_.wvu.FilterData" localSheetId="0" hidden="1">'01.04.24'!$A$3:$CQ$48</definedName>
    <definedName name="Z_06F3E528_7FD7_45EA_9733_70696AB6E064_.wvu.FilterData" localSheetId="0" hidden="1">'01.04.24'!$A$3:$ED$49</definedName>
    <definedName name="Z_06F3E528_7FD7_45EA_9733_70696AB6E064_.wvu.PrintTitles" localSheetId="0" hidden="1">'01.04.24'!$A:$A</definedName>
    <definedName name="Z_1E58ABDF_F5FA_4F2B_9F79_57A1C9A64C57_.wvu.FilterData" localSheetId="0" hidden="1">'01.04.24'!$A$3:$ED$49</definedName>
    <definedName name="Z_2FCE8099_1417_485A_8511_EE723EEA4481_.wvu.FilterData" localSheetId="0" hidden="1">'01.04.24'!$A$3:$CQ$48</definedName>
    <definedName name="Z_3EA3AE44_20E6_4193_A2F8_53C22C0865C0_.wvu.FilterData" localSheetId="0" hidden="1">'01.04.24'!$A$3:$ED$49</definedName>
    <definedName name="Z_47618C2E_2D42_45CA_BC54_3925FFBF6CE6_.wvu.FilterData" localSheetId="0" hidden="1">'01.04.24'!$A$3:$CQ$48</definedName>
    <definedName name="Z_5623871A_FE63_4492_ACCA_57FBC37D74A2_.wvu.FilterData" localSheetId="0" hidden="1">'01.04.24'!$A$3:$CQ$48</definedName>
    <definedName name="Z_67FD0576_AFA8_4CFA_A2B0_67851B563777_.wvu.FilterData" localSheetId="0" hidden="1">'01.04.24'!$A$3:$ED$49</definedName>
    <definedName name="Z_7DFBAF4F_EE4F_4154_8998_FD24AFC87B75_.wvu.FilterData" localSheetId="0" hidden="1">'01.04.24'!$A$3:$CQ$48</definedName>
    <definedName name="Z_83B01B27_C2A7_4B20_A590_F8781D350302_.wvu.FilterData" localSheetId="0" hidden="1">'01.04.24'!$A$3:$CQ$48</definedName>
    <definedName name="Z_8479B930_2ECF_4EA0_A962_FA0F8FFA65E9_.wvu.Cols" localSheetId="0" hidden="1">'01.04.24'!$AK:$AW</definedName>
    <definedName name="Z_8479B930_2ECF_4EA0_A962_FA0F8FFA65E9_.wvu.FilterData" localSheetId="0" hidden="1">'01.04.24'!$A$3:$CQ$48</definedName>
    <definedName name="Z_8479B930_2ECF_4EA0_A962_FA0F8FFA65E9_.wvu.PrintTitles" localSheetId="0" hidden="1">'01.04.24'!$A:$A</definedName>
    <definedName name="Z_86509CF0_1693_4145_BD67_1D5B5BC26910_.wvu.Cols" localSheetId="0" hidden="1">'01.04.24'!$AP:$BQ,'01.04.24'!$BX:$CA</definedName>
    <definedName name="Z_86509CF0_1693_4145_BD67_1D5B5BC26910_.wvu.FilterData" localSheetId="0" hidden="1">'01.04.24'!$A$3:$CQ$48</definedName>
    <definedName name="Z_87FAD824_FED7_4F1B_9277_9B725CB39092_.wvu.FilterData" localSheetId="0" hidden="1">'01.04.24'!$A$3:$ED$49</definedName>
    <definedName name="Z_9625BFD3_6AEA_44D4_8F34_A9CE23E02485_.wvu.FilterData" localSheetId="0" hidden="1">'01.04.24'!$A$3:$ED$49</definedName>
    <definedName name="Z_96F19E6A_E9EC_4613_AA7E_553FFAF2726F_.wvu.FilterData" localSheetId="0" hidden="1">'01.04.24'!$A$3:$CQ$48</definedName>
    <definedName name="Z_A073C89F_C785_4083_91CF_BBD92C69538C_.wvu.FilterData" localSheetId="0" hidden="1">'01.04.24'!$A$3:$CQ$48</definedName>
    <definedName name="Z_A0CB5671_798E_47D4_8F2F_926DE6C0913F_.wvu.FilterData" localSheetId="0" hidden="1">'01.04.24'!$A$3:$CQ$48</definedName>
    <definedName name="Z_CC3239AA_6ABC_4AD9_82FB_E11EF96A938B_.wvu.FilterData" localSheetId="0" hidden="1">'01.04.24'!$A$3:$ED$49</definedName>
    <definedName name="Z_CCE22413_FD19_4F63_B002_75D8202D430D_.wvu.FilterData" localSheetId="0" hidden="1">'01.04.24'!$A$3:$ED$49</definedName>
    <definedName name="Z_E3C09BFA_8B90_4516_B4A1_C40194786251_.wvu.FilterData" localSheetId="0" hidden="1">'01.04.24'!$A$3:$ED$49</definedName>
    <definedName name="Z_E6E35B51_2B6C_4505_80DA_44E3E0129050_.wvu.FilterData" localSheetId="0" hidden="1">'01.04.24'!$A$3:$ED$48</definedName>
    <definedName name="_xlnm.Print_Titles" localSheetId="0">'01.04.24'!$A:$A</definedName>
  </definedNames>
  <calcPr calcId="162913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15" i="1" l="1"/>
  <c r="BI14" i="1"/>
  <c r="BI13" i="1"/>
  <c r="BI12" i="1"/>
  <c r="BI11" i="1"/>
  <c r="BI10" i="1"/>
  <c r="BI9" i="1"/>
  <c r="BI8" i="1"/>
  <c r="BI7" i="1"/>
  <c r="BI6" i="1"/>
  <c r="BI5" i="1"/>
  <c r="BI4" i="1"/>
  <c r="DI15" i="1" l="1"/>
  <c r="DJ15" i="1" s="1"/>
  <c r="CL13" i="1"/>
  <c r="CL7" i="1"/>
  <c r="DD4" i="1" l="1"/>
  <c r="CO6" i="1"/>
  <c r="CO5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5" i="1"/>
  <c r="CY6" i="1"/>
  <c r="CY7" i="1"/>
  <c r="CY11" i="1"/>
  <c r="CY14" i="1"/>
  <c r="CY13" i="1"/>
  <c r="DJ5" i="1" l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J13" i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J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<sst xmlns="http://schemas.openxmlformats.org/spreadsheetml/2006/main" count="643" uniqueCount="298">
  <si>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</si>
  <si>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</si>
  <si>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</si>
  <si>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</si>
  <si>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</si>
  <si>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</si>
  <si>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</si>
  <si>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</si>
  <si>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</si>
  <si>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</si>
  <si>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</si>
  <si>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</si>
  <si>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</si>
  <si>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</si>
  <si>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</si>
  <si>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</si>
  <si>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</si>
  <si>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</si>
  <si>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</si>
  <si>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</si>
  <si>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</si>
  <si>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</si>
  <si>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</si>
  <si>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</si>
  <si>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</si>
  <si>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</si>
  <si>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</si>
  <si>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</si>
  <si>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</si>
  <si>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</si>
  <si>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</si>
  <si>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</si>
  <si>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</si>
  <si>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</si>
  <si>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</si>
  <si>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</si>
  <si>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</si>
  <si>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</si>
  <si>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</si>
  <si>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</si>
  <si>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</si>
  <si>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</si>
  <si>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</si>
  <si>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</si>
  <si>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</si>
  <si>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</si>
  <si>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</si>
  <si>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</si>
  <si>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</si>
  <si>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</si>
  <si>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</si>
  <si>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</si>
  <si>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</si>
  <si>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</si>
  <si>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</si>
  <si>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</si>
  <si>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</si>
  <si>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</si>
  <si>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</si>
  <si>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</si>
  <si>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</si>
  <si>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</si>
  <si>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</si>
  <si>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</si>
  <si>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</si>
  <si>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</si>
  <si>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</si>
  <si>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</si>
  <si>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</si>
  <si>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</si>
  <si>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</si>
  <si>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</si>
  <si>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</si>
  <si>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</si>
  <si>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</si>
  <si>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</si>
  <si>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</si>
  <si>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</si>
  <si>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</si>
  <si>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</si>
  <si>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</si>
  <si>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</si>
  <si>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</si>
  <si>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</si>
  <si>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</si>
  <si>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</si>
  <si>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</si>
  <si>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</si>
  <si>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</si>
  <si>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</si>
  <si>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</si>
  <si>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</si>
  <si>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</si>
  <si>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</si>
  <si>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</si>
  <si>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</si>
  <si>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</si>
  <si>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</si>
  <si>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</si>
  <si>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</si>
  <si>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</si>
  <si>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</si>
  <si>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</si>
  <si>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</si>
  <si>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</si>
  <si>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</si>
  <si>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</si>
  <si>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</si>
  <si>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</si>
  <si>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</si>
  <si>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</si>
  <si>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</si>
  <si>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</si>
  <si>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</si>
  <si>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</si>
  <si>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</si>
  <si>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</si>
  <si>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</si>
  <si>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</si>
  <si>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</si>
  <si>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</si>
  <si>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</si>
  <si>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</si>
  <si>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</si>
  <si>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</si>
  <si>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</si>
  <si>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</si>
  <si>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</si>
  <si>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</si>
  <si>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</si>
  <si>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</si>
  <si>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</si>
  <si>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</si>
  <si>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</si>
  <si>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</si>
  <si>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</si>
  <si>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</si>
  <si>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</si>
  <si>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</si>
  <si>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</si>
  <si>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</si>
  <si>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</si>
  <si>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</si>
  <si>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</si>
  <si>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</si>
  <si>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</si>
  <si>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</si>
  <si>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</si>
  <si>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</si>
  <si>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</si>
  <si>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</si>
  <si>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</si>
  <si>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</si>
  <si>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</si>
  <si>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</si>
  <si>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</si>
  <si>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</si>
  <si>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</si>
  <si>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</si>
  <si>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</si>
  <si>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</si>
  <si>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</si>
  <si>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</si>
  <si>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</si>
  <si>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</si>
  <si>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</si>
  <si>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</si>
  <si>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</si>
  <si>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</si>
  <si>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</si>
  <si>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</si>
  <si>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</si>
  <si>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</si>
  <si>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</si>
  <si>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</si>
  <si>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</si>
  <si>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</si>
  <si>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</si>
  <si>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</si>
  <si>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</si>
  <si>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</si>
  <si>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</si>
  <si>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</si>
  <si>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</si>
  <si>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</si>
  <si>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</si>
  <si>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</si>
  <si>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</si>
  <si>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</si>
  <si>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</si>
  <si>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</si>
  <si>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</si>
  <si>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</si>
  <si>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</si>
  <si>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</si>
  <si>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</si>
  <si>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</si>
  <si>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</si>
  <si>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</si>
  <si>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</si>
  <si>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</si>
  <si>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</si>
  <si>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</si>
  <si>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</si>
  <si>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</si>
  <si>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</si>
  <si>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</si>
  <si>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</si>
  <si>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</si>
  <si>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</si>
  <si>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</si>
  <si>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</si>
  <si>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</si>
  <si>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</si>
  <si>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</si>
  <si>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</si>
  <si>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</si>
  <si>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</si>
  <si>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</si>
  <si>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</si>
  <si>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</si>
  <si>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</si>
  <si>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</si>
  <si>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</si>
  <si>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</si>
  <si>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</si>
  <si>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</si>
  <si>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</si>
  <si>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</si>
  <si>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</si>
  <si>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</si>
  <si>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</si>
  <si>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</si>
  <si>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</si>
  <si>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</si>
  <si>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</si>
  <si>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</si>
  <si>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</si>
  <si>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</si>
  <si>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</si>
  <si>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</si>
  <si>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</si>
  <si>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</si>
  <si>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</si>
  <si>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</si>
  <si>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</si>
  <si>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</si>
  <si>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</si>
  <si>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</si>
  <si>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</si>
  <si>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</si>
  <si>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</si>
  <si>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</si>
  <si>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</si>
  <si>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</si>
  <si>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</si>
  <si>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</si>
  <si>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</si>
  <si>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</si>
  <si>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</si>
  <si>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</si>
  <si>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</si>
  <si>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</si>
  <si>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</si>
  <si>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</si>
  <si>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</si>
  <si>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</si>
  <si>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</si>
  <si>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</si>
  <si>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</si>
  <si>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</si>
  <si>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</si>
  <si>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</si>
  <si>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</si>
  <si>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</si>
  <si>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</si>
  <si>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</si>
  <si>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</si>
  <si>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</si>
  <si>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</si>
  <si>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</si>
  <si>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</si>
  <si>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</si>
  <si>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</si>
  <si>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</si>
  <si>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</si>
  <si>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</si>
  <si>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</si>
  <si>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</si>
  <si>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</si>
  <si>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</si>
  <si>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</si>
  <si>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</si>
  <si>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</si>
  <si>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</si>
  <si>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</si>
  <si>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</si>
  <si>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апреля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</si>
</sst>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165" fontId="20" fillId="5" borderId="1" xfId="0" applyNumberFormat="1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166" fontId="19" fillId="0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topLeftCell="A4" workbookViewId="0">
      <pane xSplit="16" topLeftCell="CX1" activePane="topRight" state="frozen"/>
      <selection activeCell="A3" sqref="A3"/>
      <selection pane="topRight" activeCell="DF56" sqref="DF56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4" hidden="1" customWidth="1"/>
    <col min="8" max="8" width="10.5703125" style="12" hidden="1" customWidth="1"/>
    <col min="9" max="9" width="11" style="32" hidden="1" customWidth="1"/>
    <col min="10" max="10" width="10.140625" style="4" hidden="1" customWidth="1"/>
    <col min="11" max="11" width="12.5703125" style="4" hidden="1" customWidth="1"/>
    <col min="12" max="12" width="12.42578125" style="34" hidden="1" customWidth="1"/>
    <col min="13" max="13" width="12.42578125" style="32" hidden="1" customWidth="1"/>
    <col min="14" max="14" width="10.140625" style="47" hidden="1" customWidth="1"/>
    <col min="15" max="16" width="10.140625" style="32" hidden="1" customWidth="1"/>
    <col min="17" max="17" width="11.28515625" style="4" customWidth="1"/>
    <col min="18" max="18" width="12.42578125" style="4" customWidth="1"/>
    <col min="19" max="19" width="10.7109375" style="34" customWidth="1"/>
    <col min="20" max="20" width="9.5703125" style="12" customWidth="1"/>
    <col min="21" max="21" width="7.85546875" style="32" customWidth="1"/>
    <col min="22" max="22" width="12" style="4" customWidth="1"/>
    <col min="23" max="23" width="15.140625" style="4" customWidth="1"/>
    <col min="24" max="24" width="9.140625" style="34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2" customWidth="1"/>
    <col min="32" max="36" width="10.85546875" style="32" hidden="1" customWidth="1"/>
    <col min="37" max="39" width="10.28515625" style="4" hidden="1" customWidth="1"/>
    <col min="40" max="40" width="8.85546875" style="40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4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4" hidden="1" customWidth="1"/>
    <col min="49" max="49" width="9.28515625" style="32" hidden="1" customWidth="1"/>
    <col min="50" max="51" width="13.140625" style="4" customWidth="1"/>
    <col min="52" max="52" width="10.28515625" style="34" customWidth="1"/>
    <col min="53" max="53" width="11" style="32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2" customWidth="1"/>
    <col min="62" max="62" width="13.140625" style="4" customWidth="1"/>
    <col min="63" max="63" width="13.7109375" style="4" customWidth="1"/>
    <col min="64" max="64" width="8.85546875" style="34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4" hidden="1" customWidth="1"/>
    <col min="69" max="69" width="18.42578125" style="32" hidden="1" customWidth="1"/>
    <col min="70" max="70" width="14.42578125" style="32" hidden="1" customWidth="1"/>
    <col min="71" max="71" width="7.7109375" style="32" hidden="1" customWidth="1"/>
    <col min="72" max="72" width="12" style="32" customWidth="1"/>
    <col min="73" max="73" width="12.140625" style="32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2" hidden="1" customWidth="1"/>
    <col min="81" max="81" width="13.42578125" style="32" hidden="1" customWidth="1"/>
    <col min="82" max="83" width="10.42578125" style="32" customWidth="1"/>
    <col min="84" max="85" width="11.42578125" style="32" customWidth="1"/>
    <col min="86" max="86" width="9.5703125" style="32" customWidth="1"/>
    <col min="87" max="87" width="9.85546875" style="32" customWidth="1"/>
    <col min="88" max="88" width="13.5703125" style="4" customWidth="1"/>
    <col min="89" max="89" width="12.5703125" style="35" customWidth="1"/>
    <col min="90" max="90" width="14.42578125" style="34" customWidth="1"/>
    <col min="91" max="91" width="11.5703125" style="4" customWidth="1"/>
    <col min="92" max="92" width="19.5703125" style="45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68" t="s">
        <v>297</v>
      </c>
      <c r="E1" s="10"/>
      <c r="F1" s="10"/>
      <c r="G1" s="22"/>
      <c r="H1" s="10"/>
      <c r="I1" s="21"/>
      <c r="L1" s="22"/>
      <c r="M1" s="21"/>
      <c r="N1" s="46"/>
      <c r="O1" s="21"/>
      <c r="P1" s="21"/>
      <c r="S1" s="22"/>
      <c r="T1" s="10"/>
      <c r="U1" s="21"/>
      <c r="X1" s="22"/>
      <c r="AC1" s="8"/>
      <c r="AD1" s="21"/>
      <c r="AE1" s="21"/>
      <c r="AF1" s="21"/>
      <c r="AG1" s="21"/>
      <c r="AH1" s="21"/>
      <c r="AI1" s="21"/>
      <c r="AJ1" s="21"/>
      <c r="AN1" s="39"/>
      <c r="AO1" s="10"/>
      <c r="AR1" s="22"/>
      <c r="AV1" s="22"/>
      <c r="AW1" s="21"/>
      <c r="AZ1" s="22"/>
      <c r="BA1" s="21"/>
      <c r="BI1" s="21"/>
      <c r="BL1" s="22"/>
      <c r="BP1" s="22"/>
      <c r="BQ1" s="21"/>
      <c r="BR1" s="21"/>
      <c r="BS1" s="21"/>
      <c r="BT1" s="21"/>
      <c r="BU1" s="21"/>
      <c r="CA1" s="21"/>
      <c r="CB1" s="21"/>
      <c r="CC1" s="21"/>
      <c r="CD1" s="21"/>
      <c r="CE1" s="21"/>
      <c r="CF1" s="21"/>
      <c r="CG1" s="21"/>
      <c r="CH1" s="21"/>
      <c r="CI1" s="21"/>
      <c r="CK1" s="23"/>
      <c r="CL1" s="22"/>
      <c r="CN1" s="42"/>
    </row>
    <row r="2" spans="1:151" s="26" customFormat="1" ht="51" customHeight="1" x14ac:dyDescent="0.2">
      <c r="A2" s="129" t="s">
        <v>0</v>
      </c>
      <c r="B2" s="131" t="s">
        <v>252</v>
      </c>
      <c r="C2" s="131"/>
      <c r="D2" s="131"/>
      <c r="E2" s="131"/>
      <c r="F2" s="131"/>
      <c r="G2" s="131"/>
      <c r="H2" s="131"/>
      <c r="I2" s="131"/>
      <c r="J2" s="132" t="s">
        <v>218</v>
      </c>
      <c r="K2" s="132"/>
      <c r="L2" s="132"/>
      <c r="M2" s="132"/>
      <c r="N2" s="132"/>
      <c r="O2" s="132"/>
      <c r="P2" s="132"/>
      <c r="Q2" s="131" t="s">
        <v>219</v>
      </c>
      <c r="R2" s="131"/>
      <c r="S2" s="131"/>
      <c r="T2" s="131"/>
      <c r="U2" s="131"/>
      <c r="V2" s="126" t="s">
        <v>264</v>
      </c>
      <c r="W2" s="127"/>
      <c r="X2" s="127"/>
      <c r="Y2" s="127"/>
      <c r="Z2" s="128"/>
      <c r="AA2" s="126" t="s">
        <v>265</v>
      </c>
      <c r="AB2" s="127"/>
      <c r="AC2" s="127"/>
      <c r="AD2" s="127"/>
      <c r="AE2" s="128"/>
      <c r="AF2" s="126" t="s">
        <v>280</v>
      </c>
      <c r="AG2" s="127"/>
      <c r="AH2" s="127"/>
      <c r="AI2" s="127"/>
      <c r="AJ2" s="128"/>
      <c r="AK2" s="131" t="s">
        <v>84</v>
      </c>
      <c r="AL2" s="131"/>
      <c r="AM2" s="131"/>
      <c r="AN2" s="131"/>
      <c r="AO2" s="131"/>
      <c r="AP2" s="126" t="s">
        <v>266</v>
      </c>
      <c r="AQ2" s="127"/>
      <c r="AR2" s="127"/>
      <c r="AS2" s="128"/>
      <c r="AT2" s="126" t="s">
        <v>220</v>
      </c>
      <c r="AU2" s="127"/>
      <c r="AV2" s="127"/>
      <c r="AW2" s="128"/>
      <c r="AX2" s="131" t="s">
        <v>281</v>
      </c>
      <c r="AY2" s="131"/>
      <c r="AZ2" s="131"/>
      <c r="BA2" s="131"/>
      <c r="BB2" s="126" t="s">
        <v>282</v>
      </c>
      <c r="BC2" s="127"/>
      <c r="BD2" s="127"/>
      <c r="BE2" s="127"/>
      <c r="BF2" s="127"/>
      <c r="BG2" s="128"/>
      <c r="BH2" s="131" t="s">
        <v>267</v>
      </c>
      <c r="BI2" s="131"/>
      <c r="BJ2" s="131"/>
      <c r="BK2" s="131"/>
      <c r="BL2" s="131"/>
      <c r="BM2" s="131"/>
      <c r="BN2" s="131" t="s">
        <v>221</v>
      </c>
      <c r="BO2" s="131"/>
      <c r="BP2" s="131"/>
      <c r="BQ2" s="131"/>
      <c r="BR2" s="131"/>
      <c r="BS2" s="131"/>
      <c r="BT2" s="126" t="s">
        <v>291</v>
      </c>
      <c r="BU2" s="128"/>
      <c r="BV2" s="131" t="s">
        <v>268</v>
      </c>
      <c r="BW2" s="131"/>
      <c r="BX2" s="126" t="s">
        <v>90</v>
      </c>
      <c r="BY2" s="127"/>
      <c r="BZ2" s="127"/>
      <c r="CA2" s="127"/>
      <c r="CB2" s="127"/>
      <c r="CC2" s="128"/>
      <c r="CD2" s="127" t="s">
        <v>292</v>
      </c>
      <c r="CE2" s="127"/>
      <c r="CF2" s="127"/>
      <c r="CG2" s="127"/>
      <c r="CH2" s="127"/>
      <c r="CI2" s="128"/>
      <c r="CJ2" s="126" t="s">
        <v>283</v>
      </c>
      <c r="CK2" s="127"/>
      <c r="CL2" s="127"/>
      <c r="CM2" s="128"/>
      <c r="CN2" s="126" t="s">
        <v>269</v>
      </c>
      <c r="CO2" s="128"/>
      <c r="CP2" s="126" t="s">
        <v>270</v>
      </c>
      <c r="CQ2" s="127"/>
      <c r="CR2" s="127"/>
      <c r="CS2" s="127"/>
      <c r="CT2" s="127"/>
      <c r="CU2" s="127"/>
      <c r="CV2" s="128"/>
      <c r="CW2" s="126" t="s">
        <v>271</v>
      </c>
      <c r="CX2" s="127"/>
      <c r="CY2" s="127"/>
      <c r="CZ2" s="128"/>
      <c r="DA2" s="126" t="s">
        <v>272</v>
      </c>
      <c r="DB2" s="127"/>
      <c r="DC2" s="127"/>
      <c r="DD2" s="128"/>
      <c r="DE2" s="126" t="s">
        <v>273</v>
      </c>
      <c r="DF2" s="128"/>
      <c r="DG2" s="126" t="s">
        <v>274</v>
      </c>
      <c r="DH2" s="127"/>
      <c r="DI2" s="127"/>
      <c r="DJ2" s="128"/>
      <c r="DK2" s="135" t="s">
        <v>56</v>
      </c>
      <c r="DL2" s="136"/>
      <c r="DM2" s="135" t="s">
        <v>250</v>
      </c>
      <c r="DN2" s="136"/>
      <c r="DO2" s="126" t="s">
        <v>285</v>
      </c>
      <c r="DP2" s="128"/>
      <c r="DQ2" s="126" t="s">
        <v>286</v>
      </c>
      <c r="DR2" s="128"/>
      <c r="DS2" s="126" t="s">
        <v>287</v>
      </c>
      <c r="DT2" s="128"/>
      <c r="DU2" s="126" t="s">
        <v>275</v>
      </c>
      <c r="DV2" s="128"/>
      <c r="DW2" s="126" t="s">
        <v>276</v>
      </c>
      <c r="DX2" s="128"/>
      <c r="DY2" s="126" t="s">
        <v>277</v>
      </c>
      <c r="DZ2" s="128"/>
      <c r="EA2" s="135" t="s">
        <v>59</v>
      </c>
      <c r="EB2" s="136"/>
      <c r="EC2" s="131" t="s">
        <v>278</v>
      </c>
      <c r="ED2" s="131"/>
      <c r="EE2" s="126" t="s">
        <v>279</v>
      </c>
      <c r="EF2" s="128"/>
      <c r="EG2" s="133" t="s">
        <v>223</v>
      </c>
    </row>
    <row r="3" spans="1:151" s="26" customFormat="1" ht="225" customHeight="1" x14ac:dyDescent="0.2">
      <c r="A3" s="130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4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4" t="s">
        <v>68</v>
      </c>
      <c r="M3" s="2" t="s">
        <v>70</v>
      </c>
      <c r="N3" s="24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5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4" t="s">
        <v>34</v>
      </c>
      <c r="Y3" s="2" t="s">
        <v>72</v>
      </c>
      <c r="Z3" s="25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5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5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5" t="s">
        <v>80</v>
      </c>
      <c r="AP3" s="90" t="s">
        <v>93</v>
      </c>
      <c r="AQ3" s="90" t="s">
        <v>92</v>
      </c>
      <c r="AR3" s="25" t="s">
        <v>34</v>
      </c>
      <c r="AS3" s="25" t="s">
        <v>293</v>
      </c>
      <c r="AT3" s="3" t="s">
        <v>39</v>
      </c>
      <c r="AU3" s="3" t="s">
        <v>40</v>
      </c>
      <c r="AV3" s="25" t="s">
        <v>34</v>
      </c>
      <c r="AW3" s="25" t="s">
        <v>85</v>
      </c>
      <c r="AX3" s="93" t="s">
        <v>256</v>
      </c>
      <c r="AY3" s="93" t="s">
        <v>87</v>
      </c>
      <c r="AZ3" s="25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5" t="s">
        <v>34</v>
      </c>
      <c r="BG3" s="3" t="s">
        <v>35</v>
      </c>
      <c r="BH3" s="93" t="s">
        <v>94</v>
      </c>
      <c r="BI3" s="90" t="s">
        <v>95</v>
      </c>
      <c r="BJ3" s="93" t="s">
        <v>88</v>
      </c>
      <c r="BK3" s="90" t="s">
        <v>89</v>
      </c>
      <c r="BL3" s="25" t="s">
        <v>34</v>
      </c>
      <c r="BM3" s="3" t="s">
        <v>35</v>
      </c>
      <c r="BN3" s="3" t="s">
        <v>41</v>
      </c>
      <c r="BO3" s="3" t="s">
        <v>42</v>
      </c>
      <c r="BP3" s="25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5" t="s">
        <v>34</v>
      </c>
      <c r="CI3" s="3" t="s">
        <v>35</v>
      </c>
      <c r="CJ3" s="93" t="s">
        <v>259</v>
      </c>
      <c r="CK3" s="91" t="s">
        <v>284</v>
      </c>
      <c r="CL3" s="25" t="s">
        <v>34</v>
      </c>
      <c r="CM3" s="3" t="s">
        <v>35</v>
      </c>
      <c r="CN3" s="43" t="s">
        <v>130</v>
      </c>
      <c r="CO3" s="3" t="s">
        <v>214</v>
      </c>
      <c r="CP3" s="36" t="s">
        <v>50</v>
      </c>
      <c r="CQ3" s="36" t="s">
        <v>51</v>
      </c>
      <c r="CR3" s="36" t="s">
        <v>52</v>
      </c>
      <c r="CS3" s="36" t="s">
        <v>53</v>
      </c>
      <c r="CT3" s="36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3" t="s">
        <v>248</v>
      </c>
      <c r="DH3" s="90" t="s">
        <v>249</v>
      </c>
      <c r="DI3" s="3" t="s">
        <v>34</v>
      </c>
      <c r="DJ3" s="3" t="s">
        <v>215</v>
      </c>
      <c r="DK3" s="36" t="s">
        <v>55</v>
      </c>
      <c r="DL3" s="3" t="s">
        <v>35</v>
      </c>
      <c r="DM3" s="36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6" t="s">
        <v>58</v>
      </c>
      <c r="DV3" s="3" t="s">
        <v>35</v>
      </c>
      <c r="DW3" s="36" t="s">
        <v>60</v>
      </c>
      <c r="DX3" s="3" t="s">
        <v>35</v>
      </c>
      <c r="DY3" s="36" t="s">
        <v>61</v>
      </c>
      <c r="DZ3" s="3" t="s">
        <v>35</v>
      </c>
      <c r="EA3" s="36" t="s">
        <v>62</v>
      </c>
      <c r="EB3" s="3" t="s">
        <v>35</v>
      </c>
      <c r="EC3" s="36" t="s">
        <v>251</v>
      </c>
      <c r="ED3" s="3" t="s">
        <v>35</v>
      </c>
      <c r="EE3" s="36" t="s">
        <v>263</v>
      </c>
      <c r="EF3" s="3" t="s">
        <v>35</v>
      </c>
      <c r="EG3" s="134"/>
    </row>
    <row r="4" spans="1:151" ht="15" x14ac:dyDescent="0.25">
      <c r="A4" s="1" t="s">
        <v>224</v>
      </c>
      <c r="B4" s="49">
        <v>0</v>
      </c>
      <c r="C4" s="13"/>
      <c r="D4" s="13"/>
      <c r="E4" s="28"/>
      <c r="F4" s="28"/>
      <c r="G4" s="53" t="e">
        <f t="shared" ref="G4:G15" si="0">(B4)/(C4-D4-E4)</f>
        <v>#DIV/0!</v>
      </c>
      <c r="H4" s="38" t="s">
        <v>73</v>
      </c>
      <c r="I4" s="69" t="e">
        <f>IF(G4&lt;=0.05,1,0)</f>
        <v>#DIV/0!</v>
      </c>
      <c r="J4" s="13">
        <v>0</v>
      </c>
      <c r="K4" s="14"/>
      <c r="L4" s="70"/>
      <c r="M4" s="29">
        <v>0</v>
      </c>
      <c r="N4" s="54" t="e">
        <f t="shared" ref="N4:N15" si="1">J4/(K4-L4-M4)</f>
        <v>#DIV/0!</v>
      </c>
      <c r="O4" s="38" t="s">
        <v>76</v>
      </c>
      <c r="P4" s="48" t="e">
        <f>IF(N4&lt;=0.5,1,0)</f>
        <v>#DIV/0!</v>
      </c>
      <c r="Q4" s="49">
        <v>0</v>
      </c>
      <c r="R4" s="61">
        <v>0</v>
      </c>
      <c r="S4" s="56">
        <v>0</v>
      </c>
      <c r="T4" s="38" t="s">
        <v>77</v>
      </c>
      <c r="U4" s="48">
        <f t="shared" ref="U4:U15" si="2">IF(Q4&gt;R4,0,1)</f>
        <v>1</v>
      </c>
      <c r="V4" s="124">
        <v>1774.6</v>
      </c>
      <c r="W4" s="124">
        <v>2116</v>
      </c>
      <c r="X4" s="111">
        <f t="shared" ref="X4:X14" si="3">V4/W4</f>
        <v>0.83865784499054818</v>
      </c>
      <c r="Y4" s="115" t="s">
        <v>77</v>
      </c>
      <c r="Z4" s="116">
        <f t="shared" ref="Z4:Z15" si="4">IF(X4&lt;=1,1,0)</f>
        <v>1</v>
      </c>
      <c r="AA4" s="118">
        <v>199</v>
      </c>
      <c r="AB4" s="118">
        <v>1258.7</v>
      </c>
      <c r="AC4" s="125">
        <f t="shared" ref="AC4:AC15" si="5">AA4/AB4</f>
        <v>0.15809962659887183</v>
      </c>
      <c r="AD4" s="115" t="s">
        <v>77</v>
      </c>
      <c r="AE4" s="116">
        <f t="shared" ref="AE4:AE15" si="6">IF(AC4&lt;=1,1,0)</f>
        <v>1</v>
      </c>
      <c r="AF4" s="105">
        <v>0</v>
      </c>
      <c r="AG4" s="101"/>
      <c r="AH4" s="104" t="e">
        <f>AF4/AG4</f>
        <v>#DIV/0!</v>
      </c>
      <c r="AI4" s="104" t="s">
        <v>288</v>
      </c>
      <c r="AJ4" s="89" t="e">
        <f>IF(AH4&lt;=0.6,1,0)</f>
        <v>#DIV/0!</v>
      </c>
      <c r="AK4" s="83"/>
      <c r="AL4" s="83"/>
      <c r="AM4" s="106">
        <v>0</v>
      </c>
      <c r="AN4" s="104" t="s">
        <v>86</v>
      </c>
      <c r="AO4" s="89">
        <f t="shared" ref="AO4:AO15" si="7">IF(AK4=0,1,0)</f>
        <v>1</v>
      </c>
      <c r="AP4" s="124">
        <v>1218.5999999999999</v>
      </c>
      <c r="AQ4" s="114">
        <v>1063.4000000000001</v>
      </c>
      <c r="AR4" s="111">
        <f t="shared" ref="AR4:AR14" si="8">AP4/AQ4</f>
        <v>1.1459469625728793</v>
      </c>
      <c r="AS4" s="116">
        <f>IF(AR4&gt;=0.4,2,IF(AR4&lt;0.2,-1,1))</f>
        <v>2</v>
      </c>
      <c r="AT4" s="83"/>
      <c r="AU4" s="83">
        <v>19</v>
      </c>
      <c r="AV4" s="103">
        <f t="shared" ref="AV4:AV15" si="9">AT4/AU4</f>
        <v>0</v>
      </c>
      <c r="AW4" s="89">
        <f t="shared" ref="AW4:AW15" si="10">IF(AV4&gt;=0.1,2,IF(AV4&lt;0.05,-1,1))</f>
        <v>-1</v>
      </c>
      <c r="AX4" s="119">
        <v>106.2</v>
      </c>
      <c r="AY4" s="119">
        <v>559.29999999999995</v>
      </c>
      <c r="AZ4" s="111">
        <f>AX4/AY4</f>
        <v>0.18988020740210981</v>
      </c>
      <c r="BA4" s="116">
        <f>IF(AND(AZ4&gt;=0.95,AZ4&lt;=1.05),1,IF(OR(AND(AZ4&gt;=0.85,AZ4&lt;0.95),AND(AZ4&gt;1.05,AZ4&lt;=1.15)),0.5,0))</f>
        <v>0</v>
      </c>
      <c r="BB4" s="101"/>
      <c r="BC4" s="114">
        <v>1063.4000000000001</v>
      </c>
      <c r="BD4" s="101"/>
      <c r="BE4" s="101"/>
      <c r="BF4" s="115">
        <f t="shared" ref="BF4:BF15" si="11">BB4/((BC4+BD4+BE4)/3)</f>
        <v>0</v>
      </c>
      <c r="BG4" s="116">
        <f t="shared" ref="BG4:BG15" si="12">IF(AND(BF4&gt;=0.7,BF4&lt;=1.3),1,IF(OR(AND(BF4&gt;=0.5,BF4&lt;0.7),AND(BF4&gt;1.5,BF4&lt;0.5)),0.5,0))</f>
        <v>0</v>
      </c>
      <c r="BH4" s="119">
        <v>559.29999999999995</v>
      </c>
      <c r="BI4" s="124">
        <f>1504.8+698.2</f>
        <v>2203</v>
      </c>
      <c r="BJ4" s="112">
        <v>562.9</v>
      </c>
      <c r="BK4" s="124">
        <v>2202</v>
      </c>
      <c r="BL4" s="111">
        <f t="shared" ref="BL4:BL14" si="13">(BH4/BI4)/(BJ4/BK4)</f>
        <v>0.99315352447811966</v>
      </c>
      <c r="BM4" s="116">
        <f t="shared" ref="BM4:BM14" si="14">IF(BL4&gt;=1,1,0)</f>
        <v>0</v>
      </c>
      <c r="BN4" s="83"/>
      <c r="BO4" s="83"/>
      <c r="BP4" s="107"/>
      <c r="BQ4" s="84"/>
      <c r="BR4" s="108">
        <v>0</v>
      </c>
      <c r="BS4" s="89">
        <f t="shared" ref="BS4:BS15" si="15">IF(AND(BR4&gt;=0.7,BR4&lt;=1.3),1,IF(OR(AND(BR4&gt;=0.5,BR4&lt;0.7),AND(BR4&gt;1.35,BR4&lt;=1.5)),0.5,0))</f>
        <v>0</v>
      </c>
      <c r="BT4" s="117" t="s">
        <v>296</v>
      </c>
      <c r="BU4" s="116">
        <v>0</v>
      </c>
      <c r="BV4" s="124">
        <v>0</v>
      </c>
      <c r="BW4" s="116">
        <f t="shared" ref="BW4:BW15" si="16">IF(BV4&gt;0,-1,0)</f>
        <v>0</v>
      </c>
      <c r="BX4" s="83"/>
      <c r="BY4" s="83"/>
      <c r="BZ4" s="83"/>
      <c r="CA4" s="84"/>
      <c r="CB4" s="84" t="e">
        <f t="shared" ref="CB4:CB15" si="17">(BX4/BY4)/(BZ4/CA4)</f>
        <v>#DIV/0!</v>
      </c>
      <c r="CC4" s="84" t="e">
        <f t="shared" ref="CC4:CC15" si="18">IF(CB4&lt;=1,1,0)</f>
        <v>#DIV/0!</v>
      </c>
      <c r="CD4" s="114">
        <v>83.9</v>
      </c>
      <c r="CE4" s="114">
        <v>3960.4</v>
      </c>
      <c r="CF4" s="114">
        <v>11.5</v>
      </c>
      <c r="CG4" s="114">
        <v>3024.8</v>
      </c>
      <c r="CH4" s="115">
        <f>(CD4/CE4)/(CF4/CG4)</f>
        <v>5.5721363235158519</v>
      </c>
      <c r="CI4" s="69">
        <f t="shared" ref="CI4:CI15" si="19">IF(CG4&lt;=1,1,0)</f>
        <v>0</v>
      </c>
      <c r="CJ4" s="113">
        <v>26.3</v>
      </c>
      <c r="CK4" s="113">
        <v>14.1</v>
      </c>
      <c r="CL4" s="111">
        <f>CJ4/CK4</f>
        <v>1.8652482269503547</v>
      </c>
      <c r="CM4" s="116">
        <f>IF(CL4&lt;1,1,0)</f>
        <v>0</v>
      </c>
      <c r="CN4" s="109"/>
      <c r="CO4" s="116">
        <f t="shared" ref="CO4:CO15" si="20">IF(ISBLANK(CN4),0,-1)</f>
        <v>0</v>
      </c>
      <c r="CP4" s="124">
        <v>1</v>
      </c>
      <c r="CQ4" s="124">
        <v>1</v>
      </c>
      <c r="CR4" s="124">
        <v>1</v>
      </c>
      <c r="CS4" s="124">
        <v>0</v>
      </c>
      <c r="CT4" s="124">
        <v>0</v>
      </c>
      <c r="CU4" s="115">
        <f t="shared" ref="CU4:CU15" si="21">CP4+CQ4+CR4+CS4+CT4</f>
        <v>3</v>
      </c>
      <c r="CV4" s="116">
        <f t="shared" ref="CV4:CV15" si="22">IF(CU4&gt;=5,1,0)</f>
        <v>0</v>
      </c>
      <c r="CW4" s="118">
        <v>5.4</v>
      </c>
      <c r="CX4" s="118">
        <v>0</v>
      </c>
      <c r="CY4" s="115"/>
      <c r="CZ4" s="116">
        <f>IF(AND(CY4&gt;=0.98,CY4&lt;=1.02),1,0)</f>
        <v>0</v>
      </c>
      <c r="DA4" s="114">
        <v>0</v>
      </c>
      <c r="DB4" s="117">
        <v>0</v>
      </c>
      <c r="DC4" s="115"/>
      <c r="DD4" s="116">
        <f>IF(AND(DC4&gt;=0.98,DC4&lt;=1.02),1,0)</f>
        <v>0</v>
      </c>
      <c r="DE4" s="117">
        <v>0</v>
      </c>
      <c r="DF4" s="116">
        <v>0</v>
      </c>
      <c r="DG4" s="114">
        <v>0</v>
      </c>
      <c r="DH4" s="117">
        <v>0.4</v>
      </c>
      <c r="DI4" s="115">
        <f t="shared" ref="DI4:DI15" si="23">DG4/DH4</f>
        <v>0</v>
      </c>
      <c r="DJ4" s="48">
        <f t="shared" ref="DJ4:DJ11" si="24">IF(AND(DI4&gt;=0.98,DI4&lt;=1.02),1,0)</f>
        <v>0</v>
      </c>
      <c r="DK4" s="16"/>
      <c r="DL4" s="48">
        <f t="shared" ref="DL4:DL15" si="25">IF(ISBLANK(DK4),0,1)</f>
        <v>0</v>
      </c>
      <c r="DM4" s="16"/>
      <c r="DN4" s="48">
        <f t="shared" ref="DN4:DN15" si="26">IF(ISBLANK(DM4),0,0.5)</f>
        <v>0</v>
      </c>
      <c r="DO4" s="79">
        <v>0</v>
      </c>
      <c r="DP4" s="48">
        <v>0</v>
      </c>
      <c r="DQ4" s="79"/>
      <c r="DR4" s="48"/>
      <c r="DS4" s="79"/>
      <c r="DT4" s="48"/>
      <c r="DU4" s="16"/>
      <c r="DV4" s="48">
        <f t="shared" ref="DV4:DV15" si="27">IF(ISBLANK(DU4),0,0.5)</f>
        <v>0</v>
      </c>
      <c r="DW4" s="16"/>
      <c r="DX4" s="48">
        <f t="shared" ref="DX4:DX15" si="28">IF(ISBLANK(DW4),0,0.5)</f>
        <v>0</v>
      </c>
      <c r="DY4" s="16"/>
      <c r="DZ4" s="48">
        <f t="shared" ref="DZ4:DZ15" si="29">IF(ISBLANK(DY4),0,0.5)</f>
        <v>0</v>
      </c>
      <c r="EA4" s="16"/>
      <c r="EB4" s="48">
        <f t="shared" ref="EB4:EB15" si="30">IF(ISBLANK(EA4),0,0.5)</f>
        <v>0</v>
      </c>
      <c r="EC4" s="16"/>
      <c r="ED4" s="48">
        <f>IF(ISBLANK(EC4),0,-1)</f>
        <v>0</v>
      </c>
      <c r="EE4" s="79"/>
      <c r="EF4" s="48"/>
      <c r="EG4" s="73">
        <f>U4+Z4+AE4+AS4+BA4+BW4+CM4+CO4+CV4+CZ4+DD4+DF4+DJ4+ED4+BG4+BM4+BU4+CI4+DP4+DR4+DT4+EF4</f>
        <v>5</v>
      </c>
    </row>
    <row r="5" spans="1:151" ht="15" x14ac:dyDescent="0.25">
      <c r="A5" s="1" t="s">
        <v>225</v>
      </c>
      <c r="B5" s="49">
        <v>0</v>
      </c>
      <c r="C5" s="13"/>
      <c r="D5" s="13"/>
      <c r="E5" s="28"/>
      <c r="F5" s="28"/>
      <c r="G5" s="53" t="e">
        <f t="shared" si="0"/>
        <v>#DIV/0!</v>
      </c>
      <c r="H5" s="38" t="s">
        <v>73</v>
      </c>
      <c r="I5" s="69" t="e">
        <f t="shared" ref="I5:I14" si="31">IF(G5&lt;=0.05,1,0)</f>
        <v>#DIV/0!</v>
      </c>
      <c r="J5" s="13">
        <v>0</v>
      </c>
      <c r="K5" s="14"/>
      <c r="L5" s="70"/>
      <c r="M5" s="29">
        <v>0</v>
      </c>
      <c r="N5" s="54" t="e">
        <f t="shared" si="1"/>
        <v>#DIV/0!</v>
      </c>
      <c r="O5" s="38" t="s">
        <v>76</v>
      </c>
      <c r="P5" s="48" t="e">
        <f>IF(N5&lt;=0.5,1,0)</f>
        <v>#DIV/0!</v>
      </c>
      <c r="Q5" s="49">
        <v>0</v>
      </c>
      <c r="R5" s="61">
        <v>0</v>
      </c>
      <c r="S5" s="56">
        <v>0</v>
      </c>
      <c r="T5" s="38" t="s">
        <v>77</v>
      </c>
      <c r="U5" s="48">
        <f t="shared" si="2"/>
        <v>1</v>
      </c>
      <c r="V5" s="124">
        <v>1834</v>
      </c>
      <c r="W5" s="124">
        <v>2248</v>
      </c>
      <c r="X5" s="111">
        <f t="shared" si="3"/>
        <v>0.8158362989323843</v>
      </c>
      <c r="Y5" s="115" t="s">
        <v>77</v>
      </c>
      <c r="Z5" s="116">
        <f t="shared" si="4"/>
        <v>1</v>
      </c>
      <c r="AA5" s="118">
        <v>355.9</v>
      </c>
      <c r="AB5" s="118">
        <v>1392.3</v>
      </c>
      <c r="AC5" s="125">
        <f t="shared" si="5"/>
        <v>0.25562019679666736</v>
      </c>
      <c r="AD5" s="115" t="s">
        <v>77</v>
      </c>
      <c r="AE5" s="116">
        <f t="shared" si="6"/>
        <v>1</v>
      </c>
      <c r="AF5" s="105">
        <v>0</v>
      </c>
      <c r="AG5" s="101"/>
      <c r="AH5" s="104" t="e">
        <f t="shared" ref="AH5:AH15" si="32">AF5/AG5</f>
        <v>#DIV/0!</v>
      </c>
      <c r="AI5" s="104" t="s">
        <v>255</v>
      </c>
      <c r="AJ5" s="89" t="e">
        <f t="shared" ref="AJ5:AJ15" si="33">IF(AH5&lt;=0.6,1,0)</f>
        <v>#DIV/0!</v>
      </c>
      <c r="AK5" s="83"/>
      <c r="AL5" s="83"/>
      <c r="AM5" s="106">
        <v>0</v>
      </c>
      <c r="AN5" s="104" t="s">
        <v>86</v>
      </c>
      <c r="AO5" s="89">
        <f t="shared" si="7"/>
        <v>1</v>
      </c>
      <c r="AP5" s="124">
        <v>1430.3</v>
      </c>
      <c r="AQ5" s="114">
        <v>1114.8</v>
      </c>
      <c r="AR5" s="111">
        <f t="shared" si="8"/>
        <v>1.2830104054538931</v>
      </c>
      <c r="AS5" s="116">
        <f t="shared" ref="AS5:AS15" si="34">IF(AR5&gt;=0.4,2,IF(AR5&lt;0.2,-1,1))</f>
        <v>2</v>
      </c>
      <c r="AT5" s="83"/>
      <c r="AU5" s="83">
        <v>44</v>
      </c>
      <c r="AV5" s="103">
        <f t="shared" si="9"/>
        <v>0</v>
      </c>
      <c r="AW5" s="89">
        <f t="shared" si="10"/>
        <v>-1</v>
      </c>
      <c r="AX5" s="119">
        <v>343.7</v>
      </c>
      <c r="AY5" s="119">
        <v>1112.5999999999999</v>
      </c>
      <c r="AZ5" s="111">
        <f>AX5/AY5</f>
        <v>0.30891605248966386</v>
      </c>
      <c r="BA5" s="116">
        <f t="shared" ref="BA5:BA15" si="35">IF(AND(AZ5&gt;=0.95,AZ5&lt;=1.05),1,IF(OR(AND(AZ5&gt;=0.85,AZ5&lt;0.95),AND(AZ5&gt;1.05,AZ5&lt;=1.15)),0.5,0))</f>
        <v>0</v>
      </c>
      <c r="BB5" s="101"/>
      <c r="BC5" s="114">
        <v>1114.8</v>
      </c>
      <c r="BD5" s="102"/>
      <c r="BE5" s="101"/>
      <c r="BF5" s="115">
        <f t="shared" si="11"/>
        <v>0</v>
      </c>
      <c r="BG5" s="116">
        <f t="shared" si="12"/>
        <v>0</v>
      </c>
      <c r="BH5" s="119">
        <v>1244.5999999999999</v>
      </c>
      <c r="BI5" s="124">
        <f>1125.2+315.3</f>
        <v>1440.5</v>
      </c>
      <c r="BJ5" s="112">
        <v>1154.7</v>
      </c>
      <c r="BK5" s="124">
        <v>1440.5</v>
      </c>
      <c r="BL5" s="111">
        <f t="shared" si="13"/>
        <v>1.077855720100459</v>
      </c>
      <c r="BM5" s="116">
        <f t="shared" si="14"/>
        <v>1</v>
      </c>
      <c r="BN5" s="83"/>
      <c r="BO5" s="83"/>
      <c r="BP5" s="107"/>
      <c r="BQ5" s="84"/>
      <c r="BR5" s="108">
        <v>0</v>
      </c>
      <c r="BS5" s="89">
        <f t="shared" si="15"/>
        <v>0</v>
      </c>
      <c r="BT5" s="117" t="s">
        <v>296</v>
      </c>
      <c r="BU5" s="116">
        <v>0</v>
      </c>
      <c r="BV5" s="124">
        <v>0</v>
      </c>
      <c r="BW5" s="116">
        <f t="shared" si="16"/>
        <v>0</v>
      </c>
      <c r="BX5" s="83"/>
      <c r="BY5" s="83"/>
      <c r="BZ5" s="83"/>
      <c r="CA5" s="84"/>
      <c r="CB5" s="84" t="e">
        <f t="shared" si="17"/>
        <v>#DIV/0!</v>
      </c>
      <c r="CC5" s="84" t="e">
        <f t="shared" si="18"/>
        <v>#DIV/0!</v>
      </c>
      <c r="CD5" s="114">
        <v>79.099999999999994</v>
      </c>
      <c r="CE5" s="114">
        <v>6347.5</v>
      </c>
      <c r="CF5" s="114">
        <v>3.5</v>
      </c>
      <c r="CG5" s="114">
        <v>3246.6</v>
      </c>
      <c r="CH5" s="115">
        <f>(CD5/CE5)/(CF5/CG5)</f>
        <v>11.559379283182352</v>
      </c>
      <c r="CI5" s="69">
        <f t="shared" si="19"/>
        <v>0</v>
      </c>
      <c r="CJ5" s="113">
        <v>24.7</v>
      </c>
      <c r="CK5" s="113">
        <v>29</v>
      </c>
      <c r="CL5" s="111">
        <f t="shared" ref="CL5:CL15" si="36">CJ5/CK5</f>
        <v>0.85172413793103441</v>
      </c>
      <c r="CM5" s="116">
        <f t="shared" ref="CM5:CM48" si="37">IF(CL5&lt;1,1,0)</f>
        <v>1</v>
      </c>
      <c r="CN5" s="109"/>
      <c r="CO5" s="116">
        <f>IF(ISBLANK(CN5),0,-1)</f>
        <v>0</v>
      </c>
      <c r="CP5" s="124">
        <v>1</v>
      </c>
      <c r="CQ5" s="124">
        <v>1</v>
      </c>
      <c r="CR5" s="124">
        <v>1</v>
      </c>
      <c r="CS5" s="124">
        <v>1</v>
      </c>
      <c r="CT5" s="124">
        <v>1</v>
      </c>
      <c r="CU5" s="115">
        <f t="shared" si="21"/>
        <v>5</v>
      </c>
      <c r="CV5" s="116">
        <f t="shared" si="22"/>
        <v>1</v>
      </c>
      <c r="CW5" s="118">
        <v>45.1</v>
      </c>
      <c r="CX5" s="118">
        <v>34.5</v>
      </c>
      <c r="CY5" s="115">
        <f t="shared" ref="CY5:CY6" si="38">CW5/CX5</f>
        <v>1.3072463768115943</v>
      </c>
      <c r="CZ5" s="116">
        <f t="shared" ref="CZ5:CZ15" si="39">IF(AND(CY5&gt;=0.98,CY5&lt;=1.02),1,0)</f>
        <v>0</v>
      </c>
      <c r="DA5" s="114">
        <v>0</v>
      </c>
      <c r="DB5" s="117">
        <v>0</v>
      </c>
      <c r="DC5" s="115"/>
      <c r="DD5" s="116">
        <f>IF(AND(DC5&gt;=0.98,DC5&lt;=1.02),1,0)</f>
        <v>0</v>
      </c>
      <c r="DE5" s="117">
        <v>0</v>
      </c>
      <c r="DF5" s="116">
        <v>0</v>
      </c>
      <c r="DG5" s="114">
        <v>0</v>
      </c>
      <c r="DH5" s="117">
        <v>0</v>
      </c>
      <c r="DI5" s="115"/>
      <c r="DJ5" s="48">
        <f t="shared" si="24"/>
        <v>0</v>
      </c>
      <c r="DK5" s="16"/>
      <c r="DL5" s="48">
        <f t="shared" si="25"/>
        <v>0</v>
      </c>
      <c r="DM5" s="16"/>
      <c r="DN5" s="48">
        <f t="shared" si="26"/>
        <v>0</v>
      </c>
      <c r="DO5" s="79">
        <v>0</v>
      </c>
      <c r="DP5" s="48">
        <v>0</v>
      </c>
      <c r="DQ5" s="79"/>
      <c r="DR5" s="48"/>
      <c r="DS5" s="79"/>
      <c r="DT5" s="48"/>
      <c r="DU5" s="16"/>
      <c r="DV5" s="48">
        <f t="shared" si="27"/>
        <v>0</v>
      </c>
      <c r="DW5" s="16"/>
      <c r="DX5" s="48">
        <f t="shared" si="28"/>
        <v>0</v>
      </c>
      <c r="DY5" s="16"/>
      <c r="DZ5" s="48">
        <f t="shared" si="29"/>
        <v>0</v>
      </c>
      <c r="EA5" s="16"/>
      <c r="EB5" s="48">
        <f t="shared" si="30"/>
        <v>0</v>
      </c>
      <c r="EC5" s="16"/>
      <c r="ED5" s="48">
        <f t="shared" ref="ED5:ED15" si="40">IF(ISBLANK(EC5),0,-1)</f>
        <v>0</v>
      </c>
      <c r="EE5" s="79"/>
      <c r="EF5" s="48"/>
      <c r="EG5" s="73">
        <f t="shared" ref="EG5:EG15" si="41">U5+Z5+AE5+AS5+BA5+BW5+CM5+CO5+CV5+CZ5+DD5+DF5+DJ5+ED5+BG5+BM5+BU5+CI5+DP5+DR5+DT5+EF5</f>
        <v>8</v>
      </c>
    </row>
    <row r="6" spans="1:151" ht="15" x14ac:dyDescent="0.25">
      <c r="A6" s="1" t="s">
        <v>226</v>
      </c>
      <c r="B6" s="49">
        <v>0</v>
      </c>
      <c r="C6" s="13"/>
      <c r="D6" s="13"/>
      <c r="E6" s="28"/>
      <c r="F6" s="28"/>
      <c r="G6" s="53" t="e">
        <f t="shared" si="0"/>
        <v>#DIV/0!</v>
      </c>
      <c r="H6" s="38" t="s">
        <v>73</v>
      </c>
      <c r="I6" s="69" t="e">
        <f t="shared" si="31"/>
        <v>#DIV/0!</v>
      </c>
      <c r="J6" s="13">
        <v>0</v>
      </c>
      <c r="K6" s="14"/>
      <c r="L6" s="72"/>
      <c r="M6" s="29">
        <v>0</v>
      </c>
      <c r="N6" s="54" t="e">
        <f t="shared" si="1"/>
        <v>#DIV/0!</v>
      </c>
      <c r="O6" s="38" t="s">
        <v>76</v>
      </c>
      <c r="P6" s="48" t="e">
        <f>IF(N6&lt;=0.5,1,0)</f>
        <v>#DIV/0!</v>
      </c>
      <c r="Q6" s="49">
        <v>0</v>
      </c>
      <c r="R6" s="61">
        <v>0</v>
      </c>
      <c r="S6" s="56">
        <v>0</v>
      </c>
      <c r="T6" s="38" t="s">
        <v>77</v>
      </c>
      <c r="U6" s="48">
        <f t="shared" si="2"/>
        <v>1</v>
      </c>
      <c r="V6" s="124">
        <v>1603.9</v>
      </c>
      <c r="W6" s="124">
        <v>1851</v>
      </c>
      <c r="X6" s="111">
        <f t="shared" si="3"/>
        <v>0.86650459211237174</v>
      </c>
      <c r="Y6" s="115" t="s">
        <v>77</v>
      </c>
      <c r="Z6" s="116">
        <f t="shared" si="4"/>
        <v>1</v>
      </c>
      <c r="AA6" s="118">
        <v>191.7</v>
      </c>
      <c r="AB6" s="118">
        <v>1130.8</v>
      </c>
      <c r="AC6" s="125">
        <f t="shared" si="5"/>
        <v>0.16952599929253626</v>
      </c>
      <c r="AD6" s="115" t="s">
        <v>77</v>
      </c>
      <c r="AE6" s="116">
        <f t="shared" si="6"/>
        <v>1</v>
      </c>
      <c r="AF6" s="105">
        <v>0</v>
      </c>
      <c r="AG6" s="101"/>
      <c r="AH6" s="104" t="e">
        <f t="shared" si="32"/>
        <v>#DIV/0!</v>
      </c>
      <c r="AI6" s="104" t="s">
        <v>255</v>
      </c>
      <c r="AJ6" s="89" t="e">
        <f t="shared" si="33"/>
        <v>#DIV/0!</v>
      </c>
      <c r="AK6" s="83"/>
      <c r="AL6" s="83"/>
      <c r="AM6" s="106">
        <v>0</v>
      </c>
      <c r="AN6" s="104" t="s">
        <v>86</v>
      </c>
      <c r="AO6" s="89">
        <f t="shared" si="7"/>
        <v>1</v>
      </c>
      <c r="AP6" s="124">
        <v>1694.9</v>
      </c>
      <c r="AQ6" s="114">
        <v>1385.5</v>
      </c>
      <c r="AR6" s="111">
        <f t="shared" si="8"/>
        <v>1.2233128834355829</v>
      </c>
      <c r="AS6" s="116">
        <f t="shared" si="34"/>
        <v>2</v>
      </c>
      <c r="AT6" s="83"/>
      <c r="AU6" s="83">
        <v>37</v>
      </c>
      <c r="AV6" s="103">
        <f t="shared" si="9"/>
        <v>0</v>
      </c>
      <c r="AW6" s="89">
        <f t="shared" si="10"/>
        <v>-1</v>
      </c>
      <c r="AX6" s="119">
        <v>481.8</v>
      </c>
      <c r="AY6" s="119">
        <v>596.20000000000005</v>
      </c>
      <c r="AZ6" s="111">
        <f>AX6/AY6</f>
        <v>0.80811808118081174</v>
      </c>
      <c r="BA6" s="116">
        <f>IF(AND(AZ6&gt;=0.95,AZ6&lt;=1.05),1,IF(OR(AND(AZ6&gt;=0.85,AZ6&lt;0.95),AND(AZ6&gt;1.05,AZ6&lt;=1.15)),0.5,0))</f>
        <v>0</v>
      </c>
      <c r="BB6" s="101"/>
      <c r="BC6" s="114">
        <v>1385.5</v>
      </c>
      <c r="BD6" s="101"/>
      <c r="BE6" s="101"/>
      <c r="BF6" s="115">
        <f t="shared" si="11"/>
        <v>0</v>
      </c>
      <c r="BG6" s="116">
        <f t="shared" si="12"/>
        <v>0</v>
      </c>
      <c r="BH6" s="119">
        <v>940.2</v>
      </c>
      <c r="BI6" s="124">
        <f>1185.5+440.4</f>
        <v>1625.9</v>
      </c>
      <c r="BJ6" s="112">
        <v>671.4</v>
      </c>
      <c r="BK6" s="124">
        <v>1625.9</v>
      </c>
      <c r="BL6" s="111">
        <f t="shared" si="13"/>
        <v>1.4003574620196606</v>
      </c>
      <c r="BM6" s="116">
        <f t="shared" si="14"/>
        <v>1</v>
      </c>
      <c r="BN6" s="83"/>
      <c r="BO6" s="83"/>
      <c r="BP6" s="107"/>
      <c r="BQ6" s="84"/>
      <c r="BR6" s="108">
        <v>0</v>
      </c>
      <c r="BS6" s="89">
        <f t="shared" si="15"/>
        <v>0</v>
      </c>
      <c r="BT6" s="117" t="s">
        <v>296</v>
      </c>
      <c r="BU6" s="116">
        <v>0</v>
      </c>
      <c r="BV6" s="124">
        <v>0</v>
      </c>
      <c r="BW6" s="116">
        <f t="shared" si="16"/>
        <v>0</v>
      </c>
      <c r="BX6" s="83"/>
      <c r="BY6" s="83"/>
      <c r="BZ6" s="83"/>
      <c r="CA6" s="84"/>
      <c r="CB6" s="84" t="e">
        <f t="shared" si="17"/>
        <v>#DIV/0!</v>
      </c>
      <c r="CC6" s="84" t="e">
        <f t="shared" si="18"/>
        <v>#DIV/0!</v>
      </c>
      <c r="CD6" s="114">
        <v>31.1</v>
      </c>
      <c r="CE6" s="114">
        <v>4731.8999999999996</v>
      </c>
      <c r="CF6" s="114">
        <v>11.7</v>
      </c>
      <c r="CG6" s="114">
        <v>4524.7</v>
      </c>
      <c r="CH6" s="115">
        <f t="shared" ref="CH6:CH15" si="42">(CD6/CE6)/(CF6/CG6)</f>
        <v>2.5417261601246897</v>
      </c>
      <c r="CI6" s="69">
        <f t="shared" si="19"/>
        <v>0</v>
      </c>
      <c r="CJ6" s="113">
        <v>10.1</v>
      </c>
      <c r="CK6" s="113">
        <v>12.4</v>
      </c>
      <c r="CL6" s="111">
        <f t="shared" si="36"/>
        <v>0.81451612903225801</v>
      </c>
      <c r="CM6" s="116">
        <f t="shared" si="37"/>
        <v>1</v>
      </c>
      <c r="CN6" s="109"/>
      <c r="CO6" s="116">
        <f>IF(ISBLANK(CN6),0,-1)</f>
        <v>0</v>
      </c>
      <c r="CP6" s="124">
        <v>1</v>
      </c>
      <c r="CQ6" s="124">
        <v>1</v>
      </c>
      <c r="CR6" s="124">
        <v>1</v>
      </c>
      <c r="CS6" s="124">
        <v>1</v>
      </c>
      <c r="CT6" s="124">
        <v>1</v>
      </c>
      <c r="CU6" s="115">
        <f t="shared" si="21"/>
        <v>5</v>
      </c>
      <c r="CV6" s="116">
        <f t="shared" si="22"/>
        <v>1</v>
      </c>
      <c r="CW6" s="118">
        <v>11.1</v>
      </c>
      <c r="CX6" s="118">
        <v>8.3000000000000007</v>
      </c>
      <c r="CY6" s="115">
        <f t="shared" si="38"/>
        <v>1.3373493975903612</v>
      </c>
      <c r="CZ6" s="116">
        <v>0</v>
      </c>
      <c r="DA6" s="114">
        <v>0</v>
      </c>
      <c r="DB6" s="117">
        <v>0</v>
      </c>
      <c r="DC6" s="115"/>
      <c r="DD6" s="116">
        <f t="shared" ref="DD6:DD7" si="43">IF(AND(DC6&gt;=0.98,DC6&lt;=1.02),1,0)</f>
        <v>0</v>
      </c>
      <c r="DE6" s="117">
        <v>0</v>
      </c>
      <c r="DF6" s="116">
        <v>1</v>
      </c>
      <c r="DG6" s="114">
        <v>0</v>
      </c>
      <c r="DH6" s="117">
        <v>0</v>
      </c>
      <c r="DI6" s="115"/>
      <c r="DJ6" s="48">
        <f>IF(AND(DI6&gt;=0.98,DI6&lt;=1.02),1,0)</f>
        <v>0</v>
      </c>
      <c r="DK6" s="16"/>
      <c r="DL6" s="48">
        <f t="shared" si="25"/>
        <v>0</v>
      </c>
      <c r="DM6" s="16"/>
      <c r="DN6" s="48">
        <f t="shared" si="26"/>
        <v>0</v>
      </c>
      <c r="DO6" s="79">
        <v>0</v>
      </c>
      <c r="DP6" s="48">
        <v>0</v>
      </c>
      <c r="DQ6" s="79"/>
      <c r="DR6" s="48"/>
      <c r="DS6" s="79"/>
      <c r="DT6" s="48"/>
      <c r="DU6" s="16"/>
      <c r="DV6" s="48">
        <f t="shared" si="27"/>
        <v>0</v>
      </c>
      <c r="DW6" s="16"/>
      <c r="DX6" s="48">
        <f t="shared" si="28"/>
        <v>0</v>
      </c>
      <c r="DY6" s="16"/>
      <c r="DZ6" s="48">
        <f>IF(ISBLANK(DY6),0,0.5)</f>
        <v>0</v>
      </c>
      <c r="EA6" s="16" t="s">
        <v>123</v>
      </c>
      <c r="EB6" s="48">
        <f t="shared" si="30"/>
        <v>0.5</v>
      </c>
      <c r="EC6" s="16"/>
      <c r="ED6" s="48">
        <f t="shared" si="40"/>
        <v>0</v>
      </c>
      <c r="EE6" s="79"/>
      <c r="EF6" s="48"/>
      <c r="EG6" s="73">
        <f t="shared" si="41"/>
        <v>9</v>
      </c>
    </row>
    <row r="7" spans="1:151" ht="15" x14ac:dyDescent="0.25">
      <c r="A7" s="1" t="s">
        <v>227</v>
      </c>
      <c r="B7" s="49">
        <v>0</v>
      </c>
      <c r="C7" s="13"/>
      <c r="D7" s="13"/>
      <c r="E7" s="28"/>
      <c r="F7" s="28"/>
      <c r="G7" s="53" t="e">
        <f t="shared" si="0"/>
        <v>#DIV/0!</v>
      </c>
      <c r="H7" s="38" t="s">
        <v>73</v>
      </c>
      <c r="I7" s="69" t="e">
        <f t="shared" si="31"/>
        <v>#DIV/0!</v>
      </c>
      <c r="J7" s="13">
        <v>0</v>
      </c>
      <c r="K7" s="14"/>
      <c r="L7" s="70"/>
      <c r="M7" s="29">
        <v>0</v>
      </c>
      <c r="N7" s="54" t="e">
        <f t="shared" si="1"/>
        <v>#DIV/0!</v>
      </c>
      <c r="O7" s="38" t="s">
        <v>76</v>
      </c>
      <c r="P7" s="48" t="e">
        <f>IF(N7&lt;=0.5,1,0)</f>
        <v>#DIV/0!</v>
      </c>
      <c r="Q7" s="49">
        <v>0</v>
      </c>
      <c r="R7" s="61">
        <v>0</v>
      </c>
      <c r="S7" s="56">
        <v>0</v>
      </c>
      <c r="T7" s="38" t="s">
        <v>77</v>
      </c>
      <c r="U7" s="48">
        <f t="shared" si="2"/>
        <v>1</v>
      </c>
      <c r="V7" s="124">
        <v>1652.3</v>
      </c>
      <c r="W7" s="124">
        <v>1851</v>
      </c>
      <c r="X7" s="111">
        <f t="shared" si="3"/>
        <v>0.89265262020529446</v>
      </c>
      <c r="Y7" s="115" t="s">
        <v>77</v>
      </c>
      <c r="Z7" s="116">
        <f t="shared" si="4"/>
        <v>1</v>
      </c>
      <c r="AA7" s="118">
        <v>294.8</v>
      </c>
      <c r="AB7" s="118">
        <v>1155.0999999999999</v>
      </c>
      <c r="AC7" s="125">
        <f t="shared" si="5"/>
        <v>0.25521599861483857</v>
      </c>
      <c r="AD7" s="115" t="s">
        <v>77</v>
      </c>
      <c r="AE7" s="116">
        <f t="shared" si="6"/>
        <v>1</v>
      </c>
      <c r="AF7" s="105">
        <v>0</v>
      </c>
      <c r="AG7" s="101"/>
      <c r="AH7" s="104" t="e">
        <f t="shared" si="32"/>
        <v>#DIV/0!</v>
      </c>
      <c r="AI7" s="104" t="s">
        <v>288</v>
      </c>
      <c r="AJ7" s="89" t="e">
        <f t="shared" si="33"/>
        <v>#DIV/0!</v>
      </c>
      <c r="AK7" s="83"/>
      <c r="AL7" s="83"/>
      <c r="AM7" s="106">
        <v>0</v>
      </c>
      <c r="AN7" s="104" t="s">
        <v>86</v>
      </c>
      <c r="AO7" s="89">
        <f t="shared" si="7"/>
        <v>1</v>
      </c>
      <c r="AP7" s="124">
        <v>469.9</v>
      </c>
      <c r="AQ7" s="114">
        <v>423.9</v>
      </c>
      <c r="AR7" s="111">
        <f>AP7/AQ7</f>
        <v>1.1085161594715736</v>
      </c>
      <c r="AS7" s="116">
        <f t="shared" si="34"/>
        <v>2</v>
      </c>
      <c r="AT7" s="83"/>
      <c r="AU7" s="83">
        <v>17</v>
      </c>
      <c r="AV7" s="103">
        <f t="shared" si="9"/>
        <v>0</v>
      </c>
      <c r="AW7" s="89">
        <f t="shared" si="10"/>
        <v>-1</v>
      </c>
      <c r="AX7" s="119">
        <v>114.9</v>
      </c>
      <c r="AY7" s="119">
        <v>645.6</v>
      </c>
      <c r="AZ7" s="111">
        <f>AX7/AY7</f>
        <v>0.17797397769516729</v>
      </c>
      <c r="BA7" s="116">
        <f t="shared" si="35"/>
        <v>0</v>
      </c>
      <c r="BB7" s="101"/>
      <c r="BC7" s="114">
        <v>423.9</v>
      </c>
      <c r="BD7" s="101"/>
      <c r="BE7" s="101"/>
      <c r="BF7" s="115">
        <f t="shared" si="11"/>
        <v>0</v>
      </c>
      <c r="BG7" s="116">
        <f t="shared" si="12"/>
        <v>0</v>
      </c>
      <c r="BH7" s="119">
        <v>645.6</v>
      </c>
      <c r="BI7" s="124">
        <f>541.1+48</f>
        <v>589.1</v>
      </c>
      <c r="BJ7" s="112">
        <v>547.4</v>
      </c>
      <c r="BK7" s="124">
        <v>589.1</v>
      </c>
      <c r="BL7" s="111">
        <f t="shared" si="13"/>
        <v>1.1793934965290465</v>
      </c>
      <c r="BM7" s="116">
        <f t="shared" si="14"/>
        <v>1</v>
      </c>
      <c r="BN7" s="83"/>
      <c r="BO7" s="83"/>
      <c r="BP7" s="107"/>
      <c r="BQ7" s="84"/>
      <c r="BR7" s="108">
        <v>0</v>
      </c>
      <c r="BS7" s="89">
        <f t="shared" si="15"/>
        <v>0</v>
      </c>
      <c r="BT7" s="117" t="s">
        <v>296</v>
      </c>
      <c r="BU7" s="116">
        <v>0</v>
      </c>
      <c r="BV7" s="124">
        <v>0</v>
      </c>
      <c r="BW7" s="116">
        <f t="shared" si="16"/>
        <v>0</v>
      </c>
      <c r="BX7" s="83"/>
      <c r="BY7" s="83"/>
      <c r="BZ7" s="83"/>
      <c r="CA7" s="84"/>
      <c r="CB7" s="84" t="e">
        <f t="shared" si="17"/>
        <v>#DIV/0!</v>
      </c>
      <c r="CC7" s="84" t="e">
        <f t="shared" si="18"/>
        <v>#DIV/0!</v>
      </c>
      <c r="CD7" s="114">
        <v>39.799999999999997</v>
      </c>
      <c r="CE7" s="114">
        <v>1924.4</v>
      </c>
      <c r="CF7" s="114">
        <v>9.6</v>
      </c>
      <c r="CG7" s="114">
        <v>2027.1</v>
      </c>
      <c r="CH7" s="115">
        <f t="shared" si="42"/>
        <v>4.3670851953855738</v>
      </c>
      <c r="CI7" s="69">
        <f t="shared" si="19"/>
        <v>0</v>
      </c>
      <c r="CJ7" s="113">
        <v>8.4</v>
      </c>
      <c r="CK7" s="113">
        <v>11</v>
      </c>
      <c r="CL7" s="111">
        <f t="shared" si="36"/>
        <v>0.76363636363636367</v>
      </c>
      <c r="CM7" s="116">
        <f t="shared" si="37"/>
        <v>1</v>
      </c>
      <c r="CN7" s="109"/>
      <c r="CO7" s="116">
        <f t="shared" si="20"/>
        <v>0</v>
      </c>
      <c r="CP7" s="124">
        <v>1</v>
      </c>
      <c r="CQ7" s="124">
        <v>1</v>
      </c>
      <c r="CR7" s="124">
        <v>1</v>
      </c>
      <c r="CS7" s="124">
        <v>1</v>
      </c>
      <c r="CT7" s="124">
        <v>1</v>
      </c>
      <c r="CU7" s="115">
        <f>CP7+CQ7+CR7+CS7+CT7</f>
        <v>5</v>
      </c>
      <c r="CV7" s="116">
        <f>IF(CU7&gt;=5,1,0)</f>
        <v>1</v>
      </c>
      <c r="CW7" s="118">
        <v>25.6</v>
      </c>
      <c r="CX7" s="118">
        <v>60</v>
      </c>
      <c r="CY7" s="115">
        <f t="shared" ref="CY7:CY15" si="44">CW7/CX7</f>
        <v>0.42666666666666669</v>
      </c>
      <c r="CZ7" s="116">
        <f t="shared" si="39"/>
        <v>0</v>
      </c>
      <c r="DA7" s="114">
        <v>0</v>
      </c>
      <c r="DB7" s="117">
        <v>0</v>
      </c>
      <c r="DC7" s="115"/>
      <c r="DD7" s="116">
        <f t="shared" si="43"/>
        <v>0</v>
      </c>
      <c r="DE7" s="117">
        <v>0</v>
      </c>
      <c r="DF7" s="116">
        <v>0</v>
      </c>
      <c r="DG7" s="114">
        <v>0</v>
      </c>
      <c r="DH7" s="117">
        <v>0</v>
      </c>
      <c r="DI7" s="115"/>
      <c r="DJ7" s="48">
        <f>IF(AND(DI7&gt;=0.98,DI7&lt;=1.02),1,0)</f>
        <v>0</v>
      </c>
      <c r="DK7" s="16"/>
      <c r="DL7" s="48">
        <f t="shared" si="25"/>
        <v>0</v>
      </c>
      <c r="DM7" s="16"/>
      <c r="DN7" s="48">
        <f t="shared" si="26"/>
        <v>0</v>
      </c>
      <c r="DO7" s="79">
        <v>0</v>
      </c>
      <c r="DP7" s="48">
        <v>0</v>
      </c>
      <c r="DQ7" s="79"/>
      <c r="DR7" s="48"/>
      <c r="DS7" s="79"/>
      <c r="DT7" s="48"/>
      <c r="DU7" s="16"/>
      <c r="DV7" s="48">
        <f t="shared" si="27"/>
        <v>0</v>
      </c>
      <c r="DW7" s="16"/>
      <c r="DX7" s="48">
        <f t="shared" si="28"/>
        <v>0</v>
      </c>
      <c r="DY7" s="16"/>
      <c r="DZ7" s="48">
        <f>IF(ISBLANK(DY7),0,0.5)</f>
        <v>0</v>
      </c>
      <c r="EA7" s="16"/>
      <c r="EB7" s="48">
        <f t="shared" si="30"/>
        <v>0</v>
      </c>
      <c r="EC7" s="16"/>
      <c r="ED7" s="48">
        <f t="shared" si="40"/>
        <v>0</v>
      </c>
      <c r="EE7" s="79"/>
      <c r="EF7" s="48"/>
      <c r="EG7" s="73">
        <f t="shared" si="41"/>
        <v>8</v>
      </c>
    </row>
    <row r="8" spans="1:151" s="5" customFormat="1" ht="15" x14ac:dyDescent="0.25">
      <c r="A8" s="1" t="s">
        <v>228</v>
      </c>
      <c r="B8" s="49">
        <v>0</v>
      </c>
      <c r="C8" s="28"/>
      <c r="D8" s="49"/>
      <c r="E8" s="41"/>
      <c r="F8" s="41"/>
      <c r="G8" s="53" t="e">
        <f t="shared" si="0"/>
        <v>#DIV/0!</v>
      </c>
      <c r="H8" s="38" t="s">
        <v>73</v>
      </c>
      <c r="I8" s="69" t="e">
        <f t="shared" si="31"/>
        <v>#DIV/0!</v>
      </c>
      <c r="J8" s="49">
        <v>0</v>
      </c>
      <c r="K8" s="62"/>
      <c r="L8" s="71"/>
      <c r="M8" s="20">
        <v>0</v>
      </c>
      <c r="N8" s="57" t="e">
        <f t="shared" si="1"/>
        <v>#DIV/0!</v>
      </c>
      <c r="O8" s="58" t="s">
        <v>73</v>
      </c>
      <c r="P8" s="59" t="e">
        <f>IF(N8&lt;=1,1,0)</f>
        <v>#DIV/0!</v>
      </c>
      <c r="Q8" s="49">
        <v>0</v>
      </c>
      <c r="R8" s="61">
        <v>0</v>
      </c>
      <c r="S8" s="56">
        <v>0</v>
      </c>
      <c r="T8" s="58" t="s">
        <v>77</v>
      </c>
      <c r="U8" s="59">
        <f t="shared" si="2"/>
        <v>1</v>
      </c>
      <c r="V8" s="124">
        <v>2134.8000000000002</v>
      </c>
      <c r="W8" s="124">
        <v>2380</v>
      </c>
      <c r="X8" s="111">
        <f t="shared" si="3"/>
        <v>0.89697478991596646</v>
      </c>
      <c r="Y8" s="115" t="s">
        <v>77</v>
      </c>
      <c r="Z8" s="116">
        <f t="shared" si="4"/>
        <v>1</v>
      </c>
      <c r="AA8" s="118">
        <v>340.3</v>
      </c>
      <c r="AB8" s="118">
        <v>1504.3</v>
      </c>
      <c r="AC8" s="125">
        <f t="shared" si="5"/>
        <v>0.22621817456624346</v>
      </c>
      <c r="AD8" s="115" t="s">
        <v>77</v>
      </c>
      <c r="AE8" s="116">
        <f t="shared" si="6"/>
        <v>1</v>
      </c>
      <c r="AF8" s="105">
        <v>0</v>
      </c>
      <c r="AG8" s="101"/>
      <c r="AH8" s="104" t="e">
        <f t="shared" si="32"/>
        <v>#DIV/0!</v>
      </c>
      <c r="AI8" s="104" t="s">
        <v>288</v>
      </c>
      <c r="AJ8" s="89" t="e">
        <f t="shared" si="33"/>
        <v>#DIV/0!</v>
      </c>
      <c r="AK8" s="83"/>
      <c r="AL8" s="83"/>
      <c r="AM8" s="106">
        <v>0</v>
      </c>
      <c r="AN8" s="104" t="s">
        <v>86</v>
      </c>
      <c r="AO8" s="89">
        <f t="shared" si="7"/>
        <v>1</v>
      </c>
      <c r="AP8" s="124">
        <v>1000.1</v>
      </c>
      <c r="AQ8" s="114">
        <v>991.9</v>
      </c>
      <c r="AR8" s="111">
        <f t="shared" si="8"/>
        <v>1.0082669623954028</v>
      </c>
      <c r="AS8" s="116">
        <f t="shared" si="34"/>
        <v>2</v>
      </c>
      <c r="AT8" s="83"/>
      <c r="AU8" s="83">
        <v>58</v>
      </c>
      <c r="AV8" s="103">
        <f t="shared" si="9"/>
        <v>0</v>
      </c>
      <c r="AW8" s="110">
        <f t="shared" si="10"/>
        <v>-1</v>
      </c>
      <c r="AX8" s="119">
        <v>199.9</v>
      </c>
      <c r="AY8" s="119">
        <v>1010.7</v>
      </c>
      <c r="AZ8" s="111">
        <f>AX8/AY8</f>
        <v>0.19778371425744534</v>
      </c>
      <c r="BA8" s="123">
        <f t="shared" si="35"/>
        <v>0</v>
      </c>
      <c r="BB8" s="101"/>
      <c r="BC8" s="114">
        <v>991.9</v>
      </c>
      <c r="BD8" s="102"/>
      <c r="BE8" s="101"/>
      <c r="BF8" s="115">
        <f t="shared" si="11"/>
        <v>0</v>
      </c>
      <c r="BG8" s="116">
        <f t="shared" si="12"/>
        <v>0</v>
      </c>
      <c r="BH8" s="119">
        <v>1010.7</v>
      </c>
      <c r="BI8" s="124">
        <f>1121.4+62.3</f>
        <v>1183.7</v>
      </c>
      <c r="BJ8" s="112">
        <v>814.6</v>
      </c>
      <c r="BK8" s="124">
        <v>1183.7</v>
      </c>
      <c r="BL8" s="111">
        <f t="shared" si="13"/>
        <v>1.2407316474343235</v>
      </c>
      <c r="BM8" s="116">
        <f t="shared" si="14"/>
        <v>1</v>
      </c>
      <c r="BN8" s="83"/>
      <c r="BO8" s="83"/>
      <c r="BP8" s="107"/>
      <c r="BQ8" s="83"/>
      <c r="BR8" s="108">
        <v>0</v>
      </c>
      <c r="BS8" s="110">
        <f t="shared" si="15"/>
        <v>0</v>
      </c>
      <c r="BT8" s="117" t="s">
        <v>296</v>
      </c>
      <c r="BU8" s="116">
        <v>0</v>
      </c>
      <c r="BV8" s="124">
        <v>0</v>
      </c>
      <c r="BW8" s="116">
        <f t="shared" si="16"/>
        <v>0</v>
      </c>
      <c r="BX8" s="83"/>
      <c r="BY8" s="83"/>
      <c r="BZ8" s="83"/>
      <c r="CA8" s="83"/>
      <c r="CB8" s="83" t="e">
        <f t="shared" si="17"/>
        <v>#DIV/0!</v>
      </c>
      <c r="CC8" s="83" t="e">
        <f t="shared" si="18"/>
        <v>#DIV/0!</v>
      </c>
      <c r="CD8" s="124">
        <v>63.4</v>
      </c>
      <c r="CE8" s="114">
        <v>2922.5</v>
      </c>
      <c r="CF8" s="124">
        <v>1.9</v>
      </c>
      <c r="CG8" s="114">
        <v>2747.4</v>
      </c>
      <c r="CH8" s="115">
        <f t="shared" si="42"/>
        <v>31.369170230966642</v>
      </c>
      <c r="CI8" s="69">
        <f t="shared" si="19"/>
        <v>0</v>
      </c>
      <c r="CJ8" s="113">
        <v>93.7</v>
      </c>
      <c r="CK8" s="113">
        <v>110</v>
      </c>
      <c r="CL8" s="111">
        <f t="shared" si="36"/>
        <v>0.85181818181818181</v>
      </c>
      <c r="CM8" s="116">
        <f t="shared" si="37"/>
        <v>1</v>
      </c>
      <c r="CN8" s="109"/>
      <c r="CO8" s="116">
        <f t="shared" si="20"/>
        <v>0</v>
      </c>
      <c r="CP8" s="124">
        <v>1</v>
      </c>
      <c r="CQ8" s="124">
        <v>1</v>
      </c>
      <c r="CR8" s="124">
        <v>1</v>
      </c>
      <c r="CS8" s="124">
        <v>1</v>
      </c>
      <c r="CT8" s="124">
        <v>1</v>
      </c>
      <c r="CU8" s="115">
        <f t="shared" si="21"/>
        <v>5</v>
      </c>
      <c r="CV8" s="116">
        <f t="shared" si="22"/>
        <v>1</v>
      </c>
      <c r="CW8" s="118">
        <v>25.6</v>
      </c>
      <c r="CX8" s="118">
        <v>15</v>
      </c>
      <c r="CY8" s="115">
        <f t="shared" si="44"/>
        <v>1.7066666666666668</v>
      </c>
      <c r="CZ8" s="116">
        <f t="shared" si="39"/>
        <v>0</v>
      </c>
      <c r="DA8" s="114">
        <v>0</v>
      </c>
      <c r="DB8" s="117">
        <v>0</v>
      </c>
      <c r="DC8" s="115"/>
      <c r="DD8" s="116">
        <f t="shared" ref="DD8:DD10" si="45">IF(AND(DC8&gt;=0.98,DC8&lt;=1.02),1,0)</f>
        <v>0</v>
      </c>
      <c r="DE8" s="117">
        <v>0</v>
      </c>
      <c r="DF8" s="116">
        <v>1</v>
      </c>
      <c r="DG8" s="114">
        <v>0</v>
      </c>
      <c r="DH8" s="117">
        <v>0</v>
      </c>
      <c r="DI8" s="115"/>
      <c r="DJ8" s="48">
        <f t="shared" si="24"/>
        <v>0</v>
      </c>
      <c r="DK8" s="20"/>
      <c r="DL8" s="48">
        <f t="shared" si="25"/>
        <v>0</v>
      </c>
      <c r="DM8" s="20"/>
      <c r="DN8" s="48">
        <f t="shared" si="26"/>
        <v>0</v>
      </c>
      <c r="DO8" s="79">
        <v>0</v>
      </c>
      <c r="DP8" s="48">
        <v>0</v>
      </c>
      <c r="DQ8" s="79"/>
      <c r="DR8" s="48"/>
      <c r="DS8" s="79"/>
      <c r="DT8" s="48"/>
      <c r="DU8" s="20"/>
      <c r="DV8" s="48">
        <f t="shared" si="27"/>
        <v>0</v>
      </c>
      <c r="DW8" s="20"/>
      <c r="DX8" s="48">
        <f t="shared" si="28"/>
        <v>0</v>
      </c>
      <c r="DY8" s="20"/>
      <c r="DZ8" s="48">
        <f t="shared" si="29"/>
        <v>0</v>
      </c>
      <c r="EA8" s="20"/>
      <c r="EB8" s="48">
        <f t="shared" si="30"/>
        <v>0</v>
      </c>
      <c r="EC8" s="16"/>
      <c r="ED8" s="48">
        <f t="shared" si="40"/>
        <v>0</v>
      </c>
      <c r="EE8" s="79"/>
      <c r="EF8" s="48"/>
      <c r="EG8" s="73">
        <f t="shared" si="41"/>
        <v>9</v>
      </c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</row>
    <row r="9" spans="1:151" ht="15" customHeight="1" x14ac:dyDescent="0.25">
      <c r="A9" s="1" t="s">
        <v>229</v>
      </c>
      <c r="B9" s="49">
        <v>0</v>
      </c>
      <c r="C9" s="27"/>
      <c r="D9" s="13"/>
      <c r="E9" s="28"/>
      <c r="F9" s="28"/>
      <c r="G9" s="53" t="e">
        <f t="shared" si="0"/>
        <v>#DIV/0!</v>
      </c>
      <c r="H9" s="38" t="s">
        <v>73</v>
      </c>
      <c r="I9" s="69" t="e">
        <f t="shared" si="31"/>
        <v>#DIV/0!</v>
      </c>
      <c r="J9" s="13">
        <v>0</v>
      </c>
      <c r="K9" s="14"/>
      <c r="L9" s="70"/>
      <c r="M9" s="29">
        <v>0</v>
      </c>
      <c r="N9" s="54" t="e">
        <f t="shared" si="1"/>
        <v>#DIV/0!</v>
      </c>
      <c r="O9" s="38" t="s">
        <v>76</v>
      </c>
      <c r="P9" s="48" t="e">
        <f>IF(N9&lt;=0.5,1,0)</f>
        <v>#DIV/0!</v>
      </c>
      <c r="Q9" s="49">
        <v>0</v>
      </c>
      <c r="R9" s="61">
        <v>0</v>
      </c>
      <c r="S9" s="56">
        <v>0</v>
      </c>
      <c r="T9" s="38" t="s">
        <v>77</v>
      </c>
      <c r="U9" s="48">
        <f t="shared" si="2"/>
        <v>1</v>
      </c>
      <c r="V9" s="124">
        <v>2028.8</v>
      </c>
      <c r="W9" s="124">
        <v>2248</v>
      </c>
      <c r="X9" s="111">
        <f t="shared" si="3"/>
        <v>0.90249110320284698</v>
      </c>
      <c r="Y9" s="115" t="s">
        <v>77</v>
      </c>
      <c r="Z9" s="116">
        <f t="shared" si="4"/>
        <v>1</v>
      </c>
      <c r="AA9" s="118">
        <v>336.2</v>
      </c>
      <c r="AB9" s="118">
        <v>1398</v>
      </c>
      <c r="AC9" s="125">
        <f t="shared" si="5"/>
        <v>0.24048640915593705</v>
      </c>
      <c r="AD9" s="115" t="s">
        <v>77</v>
      </c>
      <c r="AE9" s="116">
        <f t="shared" si="6"/>
        <v>1</v>
      </c>
      <c r="AF9" s="105">
        <v>0</v>
      </c>
      <c r="AG9" s="101"/>
      <c r="AH9" s="104" t="e">
        <f t="shared" si="32"/>
        <v>#DIV/0!</v>
      </c>
      <c r="AI9" s="104" t="s">
        <v>288</v>
      </c>
      <c r="AJ9" s="89" t="e">
        <f t="shared" si="33"/>
        <v>#DIV/0!</v>
      </c>
      <c r="AK9" s="83"/>
      <c r="AL9" s="83"/>
      <c r="AM9" s="106">
        <v>0</v>
      </c>
      <c r="AN9" s="104" t="s">
        <v>86</v>
      </c>
      <c r="AO9" s="89">
        <f t="shared" si="7"/>
        <v>1</v>
      </c>
      <c r="AP9" s="124">
        <v>1312.4</v>
      </c>
      <c r="AQ9" s="120">
        <v>1201.3</v>
      </c>
      <c r="AR9" s="111">
        <f>AP9/AQ9</f>
        <v>1.0924831432614668</v>
      </c>
      <c r="AS9" s="116">
        <f t="shared" si="34"/>
        <v>2</v>
      </c>
      <c r="AT9" s="83"/>
      <c r="AU9" s="83">
        <v>28</v>
      </c>
      <c r="AV9" s="103">
        <f t="shared" si="9"/>
        <v>0</v>
      </c>
      <c r="AW9" s="89">
        <f t="shared" si="10"/>
        <v>-1</v>
      </c>
      <c r="AX9" s="119">
        <v>176.3</v>
      </c>
      <c r="AY9" s="119">
        <v>1204.0999999999999</v>
      </c>
      <c r="AZ9" s="111">
        <f>AX8/AY8</f>
        <v>0.19778371425744534</v>
      </c>
      <c r="BA9" s="116">
        <f t="shared" si="35"/>
        <v>0</v>
      </c>
      <c r="BB9" s="101"/>
      <c r="BC9" s="120">
        <v>1201.3</v>
      </c>
      <c r="BD9" s="101"/>
      <c r="BE9" s="101"/>
      <c r="BF9" s="115">
        <f t="shared" si="11"/>
        <v>0</v>
      </c>
      <c r="BG9" s="116">
        <f t="shared" si="12"/>
        <v>0</v>
      </c>
      <c r="BH9" s="119">
        <v>1204.0999999999999</v>
      </c>
      <c r="BI9" s="124">
        <f>1137+280.8</f>
        <v>1417.8</v>
      </c>
      <c r="BJ9" s="112">
        <v>1000.4</v>
      </c>
      <c r="BK9" s="124">
        <v>1417.8</v>
      </c>
      <c r="BL9" s="111">
        <f t="shared" si="13"/>
        <v>1.2036185525789684</v>
      </c>
      <c r="BM9" s="116">
        <f t="shared" si="14"/>
        <v>1</v>
      </c>
      <c r="BN9" s="83"/>
      <c r="BO9" s="83"/>
      <c r="BP9" s="107"/>
      <c r="BQ9" s="84"/>
      <c r="BR9" s="108">
        <v>0</v>
      </c>
      <c r="BS9" s="89">
        <f t="shared" si="15"/>
        <v>0</v>
      </c>
      <c r="BT9" s="117" t="s">
        <v>296</v>
      </c>
      <c r="BU9" s="116">
        <v>0</v>
      </c>
      <c r="BV9" s="124">
        <v>0</v>
      </c>
      <c r="BW9" s="116">
        <f t="shared" si="16"/>
        <v>0</v>
      </c>
      <c r="BX9" s="83"/>
      <c r="BY9" s="83"/>
      <c r="BZ9" s="83"/>
      <c r="CA9" s="84"/>
      <c r="CB9" s="84" t="e">
        <f t="shared" si="17"/>
        <v>#DIV/0!</v>
      </c>
      <c r="CC9" s="84" t="e">
        <f t="shared" si="18"/>
        <v>#DIV/0!</v>
      </c>
      <c r="CD9" s="114">
        <v>114.5</v>
      </c>
      <c r="CE9" s="114">
        <v>3940.4</v>
      </c>
      <c r="CF9" s="114">
        <v>51.3</v>
      </c>
      <c r="CG9" s="114">
        <v>3738.1</v>
      </c>
      <c r="CH9" s="115">
        <f t="shared" si="42"/>
        <v>2.1173796091985002</v>
      </c>
      <c r="CI9" s="69">
        <f t="shared" si="19"/>
        <v>0</v>
      </c>
      <c r="CJ9" s="113">
        <v>14.8</v>
      </c>
      <c r="CK9" s="113">
        <v>18.2</v>
      </c>
      <c r="CL9" s="111">
        <f t="shared" si="36"/>
        <v>0.8131868131868133</v>
      </c>
      <c r="CM9" s="116">
        <f t="shared" si="37"/>
        <v>1</v>
      </c>
      <c r="CN9" s="109"/>
      <c r="CO9" s="116">
        <f t="shared" si="20"/>
        <v>0</v>
      </c>
      <c r="CP9" s="124">
        <v>1</v>
      </c>
      <c r="CQ9" s="124">
        <v>1</v>
      </c>
      <c r="CR9" s="124">
        <v>1</v>
      </c>
      <c r="CS9" s="124">
        <v>1</v>
      </c>
      <c r="CT9" s="124">
        <v>0</v>
      </c>
      <c r="CU9" s="115">
        <f t="shared" si="21"/>
        <v>4</v>
      </c>
      <c r="CV9" s="116">
        <f t="shared" si="22"/>
        <v>0</v>
      </c>
      <c r="CW9" s="118">
        <v>32.200000000000003</v>
      </c>
      <c r="CX9" s="118">
        <v>0</v>
      </c>
      <c r="CY9" s="115"/>
      <c r="CZ9" s="116">
        <f t="shared" si="39"/>
        <v>0</v>
      </c>
      <c r="DA9" s="114">
        <v>0</v>
      </c>
      <c r="DB9" s="117">
        <v>0</v>
      </c>
      <c r="DC9" s="115"/>
      <c r="DD9" s="116">
        <f t="shared" si="45"/>
        <v>0</v>
      </c>
      <c r="DE9" s="117">
        <v>0</v>
      </c>
      <c r="DF9" s="116">
        <v>0</v>
      </c>
      <c r="DG9" s="114">
        <v>0</v>
      </c>
      <c r="DH9" s="117">
        <v>0</v>
      </c>
      <c r="DI9" s="115"/>
      <c r="DJ9" s="48">
        <f t="shared" si="24"/>
        <v>0</v>
      </c>
      <c r="DK9" s="16"/>
      <c r="DL9" s="48">
        <f t="shared" si="25"/>
        <v>0</v>
      </c>
      <c r="DM9" s="16" t="s">
        <v>106</v>
      </c>
      <c r="DN9" s="48">
        <f t="shared" si="26"/>
        <v>0.5</v>
      </c>
      <c r="DO9" s="79">
        <v>0</v>
      </c>
      <c r="DP9" s="48">
        <v>0</v>
      </c>
      <c r="DQ9" s="79"/>
      <c r="DR9" s="48"/>
      <c r="DS9" s="79"/>
      <c r="DT9" s="48"/>
      <c r="DU9" s="16"/>
      <c r="DV9" s="48">
        <f t="shared" si="27"/>
        <v>0</v>
      </c>
      <c r="DW9" s="16"/>
      <c r="DX9" s="48">
        <f t="shared" si="28"/>
        <v>0</v>
      </c>
      <c r="DY9" s="16"/>
      <c r="DZ9" s="48">
        <f t="shared" si="29"/>
        <v>0</v>
      </c>
      <c r="EA9" s="16"/>
      <c r="EB9" s="48">
        <f t="shared" si="30"/>
        <v>0</v>
      </c>
      <c r="EC9" s="16"/>
      <c r="ED9" s="48">
        <f t="shared" si="40"/>
        <v>0</v>
      </c>
      <c r="EE9" s="79"/>
      <c r="EF9" s="48"/>
      <c r="EG9" s="73">
        <f t="shared" si="41"/>
        <v>7</v>
      </c>
    </row>
    <row r="10" spans="1:151" ht="15" x14ac:dyDescent="0.25">
      <c r="A10" s="1" t="s">
        <v>230</v>
      </c>
      <c r="B10" s="49">
        <v>0</v>
      </c>
      <c r="C10" s="27"/>
      <c r="D10" s="13"/>
      <c r="E10" s="28"/>
      <c r="F10" s="28"/>
      <c r="G10" s="53" t="e">
        <f t="shared" si="0"/>
        <v>#DIV/0!</v>
      </c>
      <c r="H10" s="38" t="s">
        <v>73</v>
      </c>
      <c r="I10" s="69" t="e">
        <f t="shared" si="31"/>
        <v>#DIV/0!</v>
      </c>
      <c r="J10" s="13">
        <v>0</v>
      </c>
      <c r="K10" s="14"/>
      <c r="L10" s="70"/>
      <c r="M10" s="29">
        <v>0</v>
      </c>
      <c r="N10" s="54" t="e">
        <f t="shared" si="1"/>
        <v>#DIV/0!</v>
      </c>
      <c r="O10" s="38" t="s">
        <v>76</v>
      </c>
      <c r="P10" s="48" t="e">
        <f>IF(N10&lt;=0.5,1,0)</f>
        <v>#DIV/0!</v>
      </c>
      <c r="Q10" s="49">
        <v>0</v>
      </c>
      <c r="R10" s="61">
        <v>0</v>
      </c>
      <c r="S10" s="56">
        <v>0</v>
      </c>
      <c r="T10" s="38" t="s">
        <v>77</v>
      </c>
      <c r="U10" s="48">
        <f t="shared" si="2"/>
        <v>1</v>
      </c>
      <c r="V10" s="124">
        <v>1768.7</v>
      </c>
      <c r="W10" s="124">
        <v>1851</v>
      </c>
      <c r="X10" s="111">
        <f t="shared" si="3"/>
        <v>0.955537547271745</v>
      </c>
      <c r="Y10" s="115" t="s">
        <v>77</v>
      </c>
      <c r="Z10" s="116">
        <f t="shared" si="4"/>
        <v>1</v>
      </c>
      <c r="AA10" s="118">
        <v>246.6</v>
      </c>
      <c r="AB10" s="118">
        <v>1155.0999999999999</v>
      </c>
      <c r="AC10" s="125">
        <f t="shared" si="5"/>
        <v>0.21348800969613022</v>
      </c>
      <c r="AD10" s="115" t="s">
        <v>77</v>
      </c>
      <c r="AE10" s="116">
        <f t="shared" si="6"/>
        <v>1</v>
      </c>
      <c r="AF10" s="105">
        <v>0</v>
      </c>
      <c r="AG10" s="101"/>
      <c r="AH10" s="104" t="e">
        <f t="shared" si="32"/>
        <v>#DIV/0!</v>
      </c>
      <c r="AI10" s="104" t="s">
        <v>288</v>
      </c>
      <c r="AJ10" s="89" t="e">
        <f t="shared" si="33"/>
        <v>#DIV/0!</v>
      </c>
      <c r="AK10" s="83"/>
      <c r="AL10" s="83"/>
      <c r="AM10" s="106">
        <v>0</v>
      </c>
      <c r="AN10" s="104" t="s">
        <v>86</v>
      </c>
      <c r="AO10" s="89">
        <f t="shared" si="7"/>
        <v>1</v>
      </c>
      <c r="AP10" s="124">
        <v>651.1</v>
      </c>
      <c r="AQ10" s="120">
        <v>406.9</v>
      </c>
      <c r="AR10" s="111">
        <f t="shared" si="8"/>
        <v>1.6001474563774885</v>
      </c>
      <c r="AS10" s="116">
        <f t="shared" si="34"/>
        <v>2</v>
      </c>
      <c r="AT10" s="83"/>
      <c r="AU10" s="83">
        <v>70</v>
      </c>
      <c r="AV10" s="103">
        <f t="shared" si="9"/>
        <v>0</v>
      </c>
      <c r="AW10" s="89">
        <f t="shared" si="10"/>
        <v>-1</v>
      </c>
      <c r="AX10" s="119">
        <v>110.5</v>
      </c>
      <c r="AY10" s="119">
        <v>603.29999999999995</v>
      </c>
      <c r="AZ10" s="111">
        <f>AX9/AY9</f>
        <v>0.14641641059712651</v>
      </c>
      <c r="BA10" s="116">
        <f t="shared" si="35"/>
        <v>0</v>
      </c>
      <c r="BB10" s="101"/>
      <c r="BC10" s="120">
        <v>406.9</v>
      </c>
      <c r="BD10" s="101"/>
      <c r="BE10" s="101"/>
      <c r="BF10" s="115">
        <f t="shared" si="11"/>
        <v>0</v>
      </c>
      <c r="BG10" s="116">
        <f t="shared" si="12"/>
        <v>0</v>
      </c>
      <c r="BH10" s="119">
        <v>603.29999999999995</v>
      </c>
      <c r="BI10" s="124">
        <f>609+47.4</f>
        <v>656.4</v>
      </c>
      <c r="BJ10" s="112">
        <v>505.5</v>
      </c>
      <c r="BK10" s="124">
        <v>656.4</v>
      </c>
      <c r="BL10" s="111">
        <f t="shared" si="13"/>
        <v>1.1934718100890207</v>
      </c>
      <c r="BM10" s="116">
        <f t="shared" si="14"/>
        <v>1</v>
      </c>
      <c r="BN10" s="83"/>
      <c r="BO10" s="83"/>
      <c r="BP10" s="107"/>
      <c r="BQ10" s="84"/>
      <c r="BR10" s="108">
        <v>0</v>
      </c>
      <c r="BS10" s="89">
        <f t="shared" si="15"/>
        <v>0</v>
      </c>
      <c r="BT10" s="117" t="s">
        <v>296</v>
      </c>
      <c r="BU10" s="116">
        <v>0</v>
      </c>
      <c r="BV10" s="124">
        <v>0</v>
      </c>
      <c r="BW10" s="116">
        <f t="shared" si="16"/>
        <v>0</v>
      </c>
      <c r="BX10" s="83"/>
      <c r="BY10" s="83"/>
      <c r="BZ10" s="83"/>
      <c r="CA10" s="84"/>
      <c r="CB10" s="84" t="e">
        <f t="shared" si="17"/>
        <v>#DIV/0!</v>
      </c>
      <c r="CC10" s="84" t="e">
        <f t="shared" si="18"/>
        <v>#DIV/0!</v>
      </c>
      <c r="CD10" s="114">
        <v>51.7</v>
      </c>
      <c r="CE10" s="114">
        <v>2164.8000000000002</v>
      </c>
      <c r="CF10" s="114">
        <v>27.8</v>
      </c>
      <c r="CG10" s="114">
        <v>1698.2</v>
      </c>
      <c r="CH10" s="115">
        <f t="shared" si="42"/>
        <v>1.4588707083113996</v>
      </c>
      <c r="CI10" s="69">
        <f t="shared" si="19"/>
        <v>0</v>
      </c>
      <c r="CJ10" s="113">
        <v>18.8</v>
      </c>
      <c r="CK10" s="113">
        <v>20</v>
      </c>
      <c r="CL10" s="111">
        <f t="shared" si="36"/>
        <v>0.94000000000000006</v>
      </c>
      <c r="CM10" s="116">
        <f t="shared" si="37"/>
        <v>1</v>
      </c>
      <c r="CN10" s="109"/>
      <c r="CO10" s="116">
        <f t="shared" si="20"/>
        <v>0</v>
      </c>
      <c r="CP10" s="124">
        <v>0</v>
      </c>
      <c r="CQ10" s="124">
        <v>1</v>
      </c>
      <c r="CR10" s="124">
        <v>1</v>
      </c>
      <c r="CS10" s="124">
        <v>0</v>
      </c>
      <c r="CT10" s="124">
        <v>0</v>
      </c>
      <c r="CU10" s="115">
        <f t="shared" si="21"/>
        <v>2</v>
      </c>
      <c r="CV10" s="116">
        <f t="shared" si="22"/>
        <v>0</v>
      </c>
      <c r="CW10" s="118">
        <v>6.2</v>
      </c>
      <c r="CX10" s="118">
        <v>4.8</v>
      </c>
      <c r="CY10" s="115">
        <f t="shared" si="44"/>
        <v>1.2916666666666667</v>
      </c>
      <c r="CZ10" s="116">
        <f t="shared" si="39"/>
        <v>0</v>
      </c>
      <c r="DA10" s="120">
        <v>0</v>
      </c>
      <c r="DB10" s="117">
        <v>0</v>
      </c>
      <c r="DC10" s="115"/>
      <c r="DD10" s="116">
        <f t="shared" si="45"/>
        <v>0</v>
      </c>
      <c r="DE10" s="117">
        <v>0</v>
      </c>
      <c r="DF10" s="116">
        <v>0</v>
      </c>
      <c r="DG10" s="120">
        <v>0.2</v>
      </c>
      <c r="DH10" s="117">
        <v>0</v>
      </c>
      <c r="DI10" s="115"/>
      <c r="DJ10" s="98">
        <f t="shared" si="24"/>
        <v>0</v>
      </c>
      <c r="DK10" s="16"/>
      <c r="DL10" s="48">
        <f t="shared" si="25"/>
        <v>0</v>
      </c>
      <c r="DM10" s="16"/>
      <c r="DN10" s="48">
        <f t="shared" si="26"/>
        <v>0</v>
      </c>
      <c r="DO10" s="79">
        <v>0</v>
      </c>
      <c r="DP10" s="48">
        <v>0</v>
      </c>
      <c r="DQ10" s="79"/>
      <c r="DR10" s="48"/>
      <c r="DS10" s="79"/>
      <c r="DT10" s="48"/>
      <c r="DU10" s="16"/>
      <c r="DV10" s="48">
        <f t="shared" si="27"/>
        <v>0</v>
      </c>
      <c r="DW10" s="16"/>
      <c r="DX10" s="48">
        <f t="shared" si="28"/>
        <v>0</v>
      </c>
      <c r="DY10" s="16"/>
      <c r="DZ10" s="48">
        <f t="shared" si="29"/>
        <v>0</v>
      </c>
      <c r="EA10" s="16"/>
      <c r="EB10" s="48">
        <f t="shared" si="30"/>
        <v>0</v>
      </c>
      <c r="EC10" s="16"/>
      <c r="ED10" s="48">
        <f t="shared" si="40"/>
        <v>0</v>
      </c>
      <c r="EE10" s="79"/>
      <c r="EF10" s="48"/>
      <c r="EG10" s="73">
        <f t="shared" si="41"/>
        <v>7</v>
      </c>
    </row>
    <row r="11" spans="1:151" ht="15" x14ac:dyDescent="0.25">
      <c r="A11" s="1" t="s">
        <v>294</v>
      </c>
      <c r="B11" s="49">
        <v>0</v>
      </c>
      <c r="C11" s="27"/>
      <c r="D11" s="13"/>
      <c r="E11" s="28"/>
      <c r="F11" s="28"/>
      <c r="G11" s="53" t="e">
        <f t="shared" si="0"/>
        <v>#DIV/0!</v>
      </c>
      <c r="H11" s="38" t="s">
        <v>73</v>
      </c>
      <c r="I11" s="69" t="e">
        <f t="shared" si="31"/>
        <v>#DIV/0!</v>
      </c>
      <c r="J11" s="13">
        <v>0</v>
      </c>
      <c r="K11" s="14"/>
      <c r="L11" s="70"/>
      <c r="M11" s="29">
        <v>0</v>
      </c>
      <c r="N11" s="54" t="e">
        <f t="shared" si="1"/>
        <v>#DIV/0!</v>
      </c>
      <c r="O11" s="38" t="s">
        <v>73</v>
      </c>
      <c r="P11" s="48" t="e">
        <f>IF(N11&lt;=1,1,0)</f>
        <v>#DIV/0!</v>
      </c>
      <c r="Q11" s="49">
        <v>0</v>
      </c>
      <c r="R11" s="61">
        <v>0</v>
      </c>
      <c r="S11" s="56">
        <v>0</v>
      </c>
      <c r="T11" s="38" t="s">
        <v>77</v>
      </c>
      <c r="U11" s="48">
        <f t="shared" si="2"/>
        <v>1</v>
      </c>
      <c r="V11" s="124">
        <v>1569.2</v>
      </c>
      <c r="W11" s="124">
        <v>1851</v>
      </c>
      <c r="X11" s="111">
        <f t="shared" si="3"/>
        <v>0.84775796866558617</v>
      </c>
      <c r="Y11" s="115" t="s">
        <v>77</v>
      </c>
      <c r="Z11" s="116">
        <f t="shared" si="4"/>
        <v>1</v>
      </c>
      <c r="AA11" s="118">
        <v>286.3</v>
      </c>
      <c r="AB11" s="118">
        <v>1130.8</v>
      </c>
      <c r="AC11" s="125">
        <f t="shared" si="5"/>
        <v>0.25318358684117442</v>
      </c>
      <c r="AD11" s="115" t="s">
        <v>77</v>
      </c>
      <c r="AE11" s="116">
        <f t="shared" si="6"/>
        <v>1</v>
      </c>
      <c r="AF11" s="105">
        <v>0</v>
      </c>
      <c r="AG11" s="101"/>
      <c r="AH11" s="104" t="e">
        <f t="shared" si="32"/>
        <v>#DIV/0!</v>
      </c>
      <c r="AI11" s="104" t="s">
        <v>288</v>
      </c>
      <c r="AJ11" s="89" t="e">
        <f t="shared" si="33"/>
        <v>#DIV/0!</v>
      </c>
      <c r="AK11" s="83"/>
      <c r="AL11" s="83"/>
      <c r="AM11" s="106">
        <v>0</v>
      </c>
      <c r="AN11" s="104" t="s">
        <v>86</v>
      </c>
      <c r="AO11" s="89">
        <f t="shared" si="7"/>
        <v>1</v>
      </c>
      <c r="AP11" s="124">
        <v>1205.5999999999999</v>
      </c>
      <c r="AQ11" s="114">
        <v>1216.5</v>
      </c>
      <c r="AR11" s="111">
        <f t="shared" si="8"/>
        <v>0.99103986847513348</v>
      </c>
      <c r="AS11" s="116">
        <f t="shared" si="34"/>
        <v>2</v>
      </c>
      <c r="AT11" s="83"/>
      <c r="AU11" s="83">
        <v>24</v>
      </c>
      <c r="AV11" s="103">
        <f t="shared" si="9"/>
        <v>0</v>
      </c>
      <c r="AW11" s="89">
        <f t="shared" si="10"/>
        <v>-1</v>
      </c>
      <c r="AX11" s="119">
        <v>172.9</v>
      </c>
      <c r="AY11" s="119">
        <v>782</v>
      </c>
      <c r="AZ11" s="111">
        <f>AX11/AY11</f>
        <v>0.22109974424552431</v>
      </c>
      <c r="BA11" s="116">
        <f t="shared" si="35"/>
        <v>0</v>
      </c>
      <c r="BB11" s="101"/>
      <c r="BC11" s="114">
        <v>1216.5</v>
      </c>
      <c r="BD11" s="101"/>
      <c r="BE11" s="101"/>
      <c r="BF11" s="115">
        <f t="shared" si="11"/>
        <v>0</v>
      </c>
      <c r="BG11" s="116">
        <f t="shared" si="12"/>
        <v>0</v>
      </c>
      <c r="BH11" s="119">
        <v>782</v>
      </c>
      <c r="BI11" s="124">
        <f>1189.3+440.5</f>
        <v>1629.8</v>
      </c>
      <c r="BJ11" s="112">
        <v>584.29999999999995</v>
      </c>
      <c r="BK11" s="124">
        <v>1629.8</v>
      </c>
      <c r="BL11" s="111">
        <f t="shared" si="13"/>
        <v>1.3383535854869075</v>
      </c>
      <c r="BM11" s="116">
        <f t="shared" si="14"/>
        <v>1</v>
      </c>
      <c r="BN11" s="83"/>
      <c r="BO11" s="83"/>
      <c r="BP11" s="107"/>
      <c r="BQ11" s="84"/>
      <c r="BR11" s="108">
        <v>0</v>
      </c>
      <c r="BS11" s="89">
        <f t="shared" si="15"/>
        <v>0</v>
      </c>
      <c r="BT11" s="117" t="s">
        <v>296</v>
      </c>
      <c r="BU11" s="116">
        <v>0</v>
      </c>
      <c r="BV11" s="124">
        <v>0</v>
      </c>
      <c r="BW11" s="116">
        <f t="shared" si="16"/>
        <v>0</v>
      </c>
      <c r="BX11" s="83"/>
      <c r="BY11" s="83"/>
      <c r="BZ11" s="83"/>
      <c r="CA11" s="84"/>
      <c r="CB11" s="84" t="e">
        <f t="shared" si="17"/>
        <v>#DIV/0!</v>
      </c>
      <c r="CC11" s="84" t="e">
        <f t="shared" si="18"/>
        <v>#DIV/0!</v>
      </c>
      <c r="CD11" s="114">
        <v>65.2</v>
      </c>
      <c r="CE11" s="114">
        <v>3826.4</v>
      </c>
      <c r="CF11" s="114">
        <v>4.0999999999999996</v>
      </c>
      <c r="CG11" s="114">
        <v>3636</v>
      </c>
      <c r="CH11" s="115">
        <f t="shared" si="42"/>
        <v>15.11114057408607</v>
      </c>
      <c r="CI11" s="69">
        <f t="shared" si="19"/>
        <v>0</v>
      </c>
      <c r="CJ11" s="113">
        <v>5.9</v>
      </c>
      <c r="CK11" s="113">
        <v>5.5</v>
      </c>
      <c r="CL11" s="111">
        <f t="shared" si="36"/>
        <v>1.0727272727272728</v>
      </c>
      <c r="CM11" s="116">
        <f t="shared" si="37"/>
        <v>0</v>
      </c>
      <c r="CN11" s="109"/>
      <c r="CO11" s="116">
        <f t="shared" si="20"/>
        <v>0</v>
      </c>
      <c r="CP11" s="124">
        <v>1</v>
      </c>
      <c r="CQ11" s="124">
        <v>1</v>
      </c>
      <c r="CR11" s="124">
        <v>1</v>
      </c>
      <c r="CS11" s="124">
        <v>0</v>
      </c>
      <c r="CT11" s="124">
        <v>0</v>
      </c>
      <c r="CU11" s="115">
        <f t="shared" si="21"/>
        <v>3</v>
      </c>
      <c r="CV11" s="116">
        <f t="shared" si="22"/>
        <v>0</v>
      </c>
      <c r="CW11" s="118">
        <v>59.7</v>
      </c>
      <c r="CX11" s="118">
        <v>10</v>
      </c>
      <c r="CY11" s="115">
        <f t="shared" si="44"/>
        <v>5.9700000000000006</v>
      </c>
      <c r="CZ11" s="116">
        <f t="shared" si="39"/>
        <v>0</v>
      </c>
      <c r="DA11" s="114">
        <v>0</v>
      </c>
      <c r="DB11" s="117">
        <v>0</v>
      </c>
      <c r="DC11" s="115"/>
      <c r="DD11" s="116">
        <f t="shared" ref="DD11:DD15" si="46">IF(AND(DC11&gt;=0.98,DC11&lt;=1.02),1,0)</f>
        <v>0</v>
      </c>
      <c r="DE11" s="117">
        <v>0</v>
      </c>
      <c r="DF11" s="116">
        <v>0</v>
      </c>
      <c r="DG11" s="114">
        <v>0</v>
      </c>
      <c r="DH11" s="117">
        <v>2</v>
      </c>
      <c r="DI11" s="115">
        <f t="shared" si="23"/>
        <v>0</v>
      </c>
      <c r="DJ11" s="48">
        <f t="shared" si="24"/>
        <v>0</v>
      </c>
      <c r="DK11" s="16"/>
      <c r="DL11" s="48">
        <f t="shared" si="25"/>
        <v>0</v>
      </c>
      <c r="DM11" s="16"/>
      <c r="DN11" s="48">
        <f t="shared" si="26"/>
        <v>0</v>
      </c>
      <c r="DO11" s="79">
        <v>0</v>
      </c>
      <c r="DP11" s="48">
        <v>0</v>
      </c>
      <c r="DQ11" s="79"/>
      <c r="DR11" s="48"/>
      <c r="DS11" s="79"/>
      <c r="DT11" s="48"/>
      <c r="DU11" s="16"/>
      <c r="DV11" s="48">
        <f t="shared" si="27"/>
        <v>0</v>
      </c>
      <c r="DW11" s="16"/>
      <c r="DX11" s="48">
        <f t="shared" si="28"/>
        <v>0</v>
      </c>
      <c r="DY11" s="16"/>
      <c r="DZ11" s="48">
        <f t="shared" si="29"/>
        <v>0</v>
      </c>
      <c r="EA11" s="16"/>
      <c r="EB11" s="48">
        <f t="shared" si="30"/>
        <v>0</v>
      </c>
      <c r="EC11" s="16"/>
      <c r="ED11" s="48">
        <f t="shared" si="40"/>
        <v>0</v>
      </c>
      <c r="EE11" s="79"/>
      <c r="EF11" s="48"/>
      <c r="EG11" s="73">
        <f t="shared" si="41"/>
        <v>6</v>
      </c>
    </row>
    <row r="12" spans="1:151" ht="15" x14ac:dyDescent="0.25">
      <c r="A12" s="1" t="s">
        <v>231</v>
      </c>
      <c r="B12" s="49">
        <v>0</v>
      </c>
      <c r="C12" s="27"/>
      <c r="D12" s="13"/>
      <c r="E12" s="28"/>
      <c r="F12" s="28"/>
      <c r="G12" s="53" t="e">
        <f t="shared" si="0"/>
        <v>#DIV/0!</v>
      </c>
      <c r="H12" s="38" t="s">
        <v>73</v>
      </c>
      <c r="I12" s="69" t="e">
        <f t="shared" si="31"/>
        <v>#DIV/0!</v>
      </c>
      <c r="J12" s="13">
        <v>0</v>
      </c>
      <c r="K12" s="14"/>
      <c r="L12" s="70"/>
      <c r="M12" s="29">
        <v>0</v>
      </c>
      <c r="N12" s="54" t="e">
        <f t="shared" si="1"/>
        <v>#DIV/0!</v>
      </c>
      <c r="O12" s="38" t="s">
        <v>73</v>
      </c>
      <c r="P12" s="48" t="e">
        <f>IF(N12&lt;=1,1,0)</f>
        <v>#DIV/0!</v>
      </c>
      <c r="Q12" s="49">
        <v>0</v>
      </c>
      <c r="R12" s="61">
        <v>0</v>
      </c>
      <c r="S12" s="56">
        <v>0</v>
      </c>
      <c r="T12" s="38" t="s">
        <v>77</v>
      </c>
      <c r="U12" s="48">
        <f t="shared" si="2"/>
        <v>1</v>
      </c>
      <c r="V12" s="124">
        <v>1966.2</v>
      </c>
      <c r="W12" s="124">
        <v>2380</v>
      </c>
      <c r="X12" s="111">
        <f t="shared" si="3"/>
        <v>0.82613445378151262</v>
      </c>
      <c r="Y12" s="115" t="s">
        <v>77</v>
      </c>
      <c r="Z12" s="116">
        <f t="shared" si="4"/>
        <v>1</v>
      </c>
      <c r="AA12" s="118">
        <v>329</v>
      </c>
      <c r="AB12" s="118">
        <v>1504.3</v>
      </c>
      <c r="AC12" s="125">
        <f t="shared" si="5"/>
        <v>0.21870637505816659</v>
      </c>
      <c r="AD12" s="115" t="s">
        <v>77</v>
      </c>
      <c r="AE12" s="116">
        <f t="shared" si="6"/>
        <v>1</v>
      </c>
      <c r="AF12" s="105">
        <v>0</v>
      </c>
      <c r="AG12" s="101"/>
      <c r="AH12" s="104" t="e">
        <f t="shared" si="32"/>
        <v>#DIV/0!</v>
      </c>
      <c r="AI12" s="104" t="s">
        <v>288</v>
      </c>
      <c r="AJ12" s="89" t="e">
        <f t="shared" si="33"/>
        <v>#DIV/0!</v>
      </c>
      <c r="AK12" s="83"/>
      <c r="AL12" s="83"/>
      <c r="AM12" s="106">
        <v>0</v>
      </c>
      <c r="AN12" s="104" t="s">
        <v>86</v>
      </c>
      <c r="AO12" s="89">
        <f t="shared" si="7"/>
        <v>1</v>
      </c>
      <c r="AP12" s="124">
        <v>1409.6</v>
      </c>
      <c r="AQ12" s="120">
        <v>1114.8</v>
      </c>
      <c r="AR12" s="111">
        <f t="shared" si="8"/>
        <v>1.2644420523860782</v>
      </c>
      <c r="AS12" s="116">
        <f t="shared" si="34"/>
        <v>2</v>
      </c>
      <c r="AT12" s="83"/>
      <c r="AU12" s="83">
        <v>56</v>
      </c>
      <c r="AV12" s="103">
        <f t="shared" si="9"/>
        <v>0</v>
      </c>
      <c r="AW12" s="89">
        <f t="shared" si="10"/>
        <v>-1</v>
      </c>
      <c r="AX12" s="119">
        <v>252.5</v>
      </c>
      <c r="AY12" s="119">
        <v>1162.9000000000001</v>
      </c>
      <c r="AZ12" s="111">
        <f>AX12/AY12</f>
        <v>0.21712958981855704</v>
      </c>
      <c r="BA12" s="116">
        <f t="shared" si="35"/>
        <v>0</v>
      </c>
      <c r="BB12" s="101"/>
      <c r="BC12" s="120">
        <v>1114.8</v>
      </c>
      <c r="BD12" s="101"/>
      <c r="BE12" s="101"/>
      <c r="BF12" s="115">
        <f t="shared" si="11"/>
        <v>0</v>
      </c>
      <c r="BG12" s="116">
        <f t="shared" si="12"/>
        <v>0</v>
      </c>
      <c r="BH12" s="119">
        <v>1162.9000000000001</v>
      </c>
      <c r="BI12" s="124">
        <f>1447.9+356.8</f>
        <v>1804.7</v>
      </c>
      <c r="BJ12" s="112">
        <v>1064</v>
      </c>
      <c r="BK12" s="124">
        <v>1804.7</v>
      </c>
      <c r="BL12" s="111">
        <f t="shared" si="13"/>
        <v>1.0929511278195492</v>
      </c>
      <c r="BM12" s="116">
        <f t="shared" si="14"/>
        <v>1</v>
      </c>
      <c r="BN12" s="83"/>
      <c r="BO12" s="83"/>
      <c r="BP12" s="107"/>
      <c r="BQ12" s="84"/>
      <c r="BR12" s="108">
        <v>0</v>
      </c>
      <c r="BS12" s="89">
        <f t="shared" si="15"/>
        <v>0</v>
      </c>
      <c r="BT12" s="117" t="s">
        <v>296</v>
      </c>
      <c r="BU12" s="116">
        <v>0</v>
      </c>
      <c r="BV12" s="124">
        <v>0</v>
      </c>
      <c r="BW12" s="116">
        <f t="shared" si="16"/>
        <v>0</v>
      </c>
      <c r="BX12" s="83"/>
      <c r="BY12" s="83"/>
      <c r="BZ12" s="83"/>
      <c r="CA12" s="84"/>
      <c r="CB12" s="84" t="e">
        <f t="shared" si="17"/>
        <v>#DIV/0!</v>
      </c>
      <c r="CC12" s="84" t="e">
        <f t="shared" si="18"/>
        <v>#DIV/0!</v>
      </c>
      <c r="CD12" s="114">
        <v>122.9</v>
      </c>
      <c r="CE12" s="114">
        <v>4485.5</v>
      </c>
      <c r="CF12" s="114">
        <v>60.4</v>
      </c>
      <c r="CG12" s="114">
        <v>4216.3999999999996</v>
      </c>
      <c r="CH12" s="115">
        <f t="shared" si="42"/>
        <v>1.9126957281778445</v>
      </c>
      <c r="CI12" s="69">
        <f t="shared" si="19"/>
        <v>0</v>
      </c>
      <c r="CJ12" s="113">
        <v>37</v>
      </c>
      <c r="CK12" s="113">
        <v>18.2</v>
      </c>
      <c r="CL12" s="111">
        <f t="shared" si="36"/>
        <v>2.0329670329670328</v>
      </c>
      <c r="CM12" s="116">
        <f t="shared" si="37"/>
        <v>0</v>
      </c>
      <c r="CN12" s="109"/>
      <c r="CO12" s="116">
        <f t="shared" si="20"/>
        <v>0</v>
      </c>
      <c r="CP12" s="124">
        <v>1</v>
      </c>
      <c r="CQ12" s="124">
        <v>1</v>
      </c>
      <c r="CR12" s="124">
        <v>0</v>
      </c>
      <c r="CS12" s="124">
        <v>0</v>
      </c>
      <c r="CT12" s="124">
        <v>0</v>
      </c>
      <c r="CU12" s="115">
        <f t="shared" si="21"/>
        <v>2</v>
      </c>
      <c r="CV12" s="116">
        <f t="shared" si="22"/>
        <v>0</v>
      </c>
      <c r="CW12" s="118">
        <v>21.4</v>
      </c>
      <c r="CX12" s="118">
        <v>32.4</v>
      </c>
      <c r="CY12" s="115">
        <f t="shared" si="44"/>
        <v>0.66049382716049376</v>
      </c>
      <c r="CZ12" s="116">
        <f t="shared" si="39"/>
        <v>0</v>
      </c>
      <c r="DA12" s="120">
        <v>0</v>
      </c>
      <c r="DB12" s="117">
        <v>0</v>
      </c>
      <c r="DC12" s="115"/>
      <c r="DD12" s="116">
        <f t="shared" si="46"/>
        <v>0</v>
      </c>
      <c r="DE12" s="117">
        <v>0</v>
      </c>
      <c r="DF12" s="116">
        <v>0</v>
      </c>
      <c r="DG12" s="114">
        <v>0</v>
      </c>
      <c r="DH12" s="117">
        <v>3</v>
      </c>
      <c r="DI12" s="115">
        <f>DG12/DH12</f>
        <v>0</v>
      </c>
      <c r="DJ12" s="48">
        <f>IF(AND(DI12&gt;=0.98,DI12&lt;=1.02),1,0)</f>
        <v>0</v>
      </c>
      <c r="DK12" s="16"/>
      <c r="DL12" s="48">
        <f t="shared" si="25"/>
        <v>0</v>
      </c>
      <c r="DM12" s="16"/>
      <c r="DN12" s="48">
        <f t="shared" si="26"/>
        <v>0</v>
      </c>
      <c r="DO12" s="79">
        <v>0</v>
      </c>
      <c r="DP12" s="48">
        <v>0</v>
      </c>
      <c r="DQ12" s="79"/>
      <c r="DR12" s="48"/>
      <c r="DS12" s="79"/>
      <c r="DT12" s="48"/>
      <c r="DU12" s="16"/>
      <c r="DV12" s="48">
        <f t="shared" si="27"/>
        <v>0</v>
      </c>
      <c r="DW12" s="16"/>
      <c r="DX12" s="48">
        <f t="shared" si="28"/>
        <v>0</v>
      </c>
      <c r="DY12" s="16"/>
      <c r="DZ12" s="48">
        <f>IF(ISBLANK(DY12),0,0.5)</f>
        <v>0</v>
      </c>
      <c r="EA12" s="16" t="s">
        <v>149</v>
      </c>
      <c r="EB12" s="48">
        <f t="shared" si="30"/>
        <v>0.5</v>
      </c>
      <c r="EC12" s="16"/>
      <c r="ED12" s="48">
        <f t="shared" si="40"/>
        <v>0</v>
      </c>
      <c r="EE12" s="79"/>
      <c r="EF12" s="48"/>
      <c r="EG12" s="73">
        <f t="shared" si="41"/>
        <v>6</v>
      </c>
    </row>
    <row r="13" spans="1:151" ht="15" x14ac:dyDescent="0.25">
      <c r="A13" s="1" t="s">
        <v>232</v>
      </c>
      <c r="B13" s="49">
        <v>0</v>
      </c>
      <c r="C13" s="27"/>
      <c r="D13" s="13"/>
      <c r="E13" s="28"/>
      <c r="F13" s="28"/>
      <c r="G13" s="53" t="e">
        <f t="shared" si="0"/>
        <v>#DIV/0!</v>
      </c>
      <c r="H13" s="38" t="s">
        <v>73</v>
      </c>
      <c r="I13" s="69" t="e">
        <f t="shared" si="31"/>
        <v>#DIV/0!</v>
      </c>
      <c r="J13" s="13">
        <v>0</v>
      </c>
      <c r="K13" s="14"/>
      <c r="L13" s="70"/>
      <c r="M13" s="29">
        <v>0</v>
      </c>
      <c r="N13" s="54" t="e">
        <f t="shared" si="1"/>
        <v>#DIV/0!</v>
      </c>
      <c r="O13" s="38" t="s">
        <v>76</v>
      </c>
      <c r="P13" s="48" t="e">
        <f>IF(N13&lt;=0.5,1,0)</f>
        <v>#DIV/0!</v>
      </c>
      <c r="Q13" s="49">
        <v>0</v>
      </c>
      <c r="R13" s="61">
        <v>0</v>
      </c>
      <c r="S13" s="56">
        <v>0</v>
      </c>
      <c r="T13" s="38" t="s">
        <v>77</v>
      </c>
      <c r="U13" s="48">
        <f>IF(Q13&gt;R13,0,1)</f>
        <v>1</v>
      </c>
      <c r="V13" s="124">
        <v>1619</v>
      </c>
      <c r="W13" s="124">
        <v>1851</v>
      </c>
      <c r="X13" s="111">
        <f t="shared" si="3"/>
        <v>0.87466234467855208</v>
      </c>
      <c r="Y13" s="115" t="s">
        <v>77</v>
      </c>
      <c r="Z13" s="116">
        <f t="shared" si="4"/>
        <v>1</v>
      </c>
      <c r="AA13" s="118">
        <v>246.6</v>
      </c>
      <c r="AB13" s="118">
        <v>1155.0999999999999</v>
      </c>
      <c r="AC13" s="125">
        <f t="shared" si="5"/>
        <v>0.21348800969613022</v>
      </c>
      <c r="AD13" s="115" t="s">
        <v>77</v>
      </c>
      <c r="AE13" s="116">
        <f t="shared" si="6"/>
        <v>1</v>
      </c>
      <c r="AF13" s="105">
        <v>0</v>
      </c>
      <c r="AG13" s="101"/>
      <c r="AH13" s="104" t="e">
        <f t="shared" si="32"/>
        <v>#DIV/0!</v>
      </c>
      <c r="AI13" s="104" t="s">
        <v>288</v>
      </c>
      <c r="AJ13" s="89" t="e">
        <f t="shared" si="33"/>
        <v>#DIV/0!</v>
      </c>
      <c r="AK13" s="83"/>
      <c r="AL13" s="83"/>
      <c r="AM13" s="106">
        <v>0</v>
      </c>
      <c r="AN13" s="104" t="s">
        <v>86</v>
      </c>
      <c r="AO13" s="89">
        <f t="shared" si="7"/>
        <v>1</v>
      </c>
      <c r="AP13" s="124">
        <v>1503.6</v>
      </c>
      <c r="AQ13" s="114">
        <v>1289.9000000000001</v>
      </c>
      <c r="AR13" s="111">
        <f t="shared" si="8"/>
        <v>1.1656717575005813</v>
      </c>
      <c r="AS13" s="116">
        <f t="shared" si="34"/>
        <v>2</v>
      </c>
      <c r="AT13" s="83"/>
      <c r="AU13" s="83">
        <v>44</v>
      </c>
      <c r="AV13" s="103">
        <f t="shared" si="9"/>
        <v>0</v>
      </c>
      <c r="AW13" s="89">
        <f t="shared" si="10"/>
        <v>-1</v>
      </c>
      <c r="AX13" s="119">
        <v>243.6</v>
      </c>
      <c r="AY13" s="119">
        <v>697.7</v>
      </c>
      <c r="AZ13" s="111">
        <f>AX13/AY13</f>
        <v>0.34914719793607563</v>
      </c>
      <c r="BA13" s="116">
        <f t="shared" si="35"/>
        <v>0</v>
      </c>
      <c r="BB13" s="101"/>
      <c r="BC13" s="114">
        <v>1289.9000000000001</v>
      </c>
      <c r="BD13" s="101"/>
      <c r="BE13" s="101"/>
      <c r="BF13" s="115">
        <f t="shared" si="11"/>
        <v>0</v>
      </c>
      <c r="BG13" s="116">
        <f t="shared" si="12"/>
        <v>0</v>
      </c>
      <c r="BH13" s="119">
        <v>787.7</v>
      </c>
      <c r="BI13" s="124">
        <f>1134.2+311</f>
        <v>1445.2</v>
      </c>
      <c r="BJ13" s="112">
        <v>618.70000000000005</v>
      </c>
      <c r="BK13" s="124">
        <v>1455.2</v>
      </c>
      <c r="BL13" s="111">
        <f t="shared" si="13"/>
        <v>1.2819629168970357</v>
      </c>
      <c r="BM13" s="116">
        <f t="shared" si="14"/>
        <v>1</v>
      </c>
      <c r="BN13" s="83"/>
      <c r="BO13" s="83"/>
      <c r="BP13" s="107"/>
      <c r="BQ13" s="84"/>
      <c r="BR13" s="108">
        <v>0</v>
      </c>
      <c r="BS13" s="89">
        <f t="shared" si="15"/>
        <v>0</v>
      </c>
      <c r="BT13" s="117" t="s">
        <v>296</v>
      </c>
      <c r="BU13" s="116">
        <v>0</v>
      </c>
      <c r="BV13" s="124">
        <v>0</v>
      </c>
      <c r="BW13" s="116">
        <f t="shared" si="16"/>
        <v>0</v>
      </c>
      <c r="BX13" s="83"/>
      <c r="BY13" s="83"/>
      <c r="BZ13" s="83"/>
      <c r="CA13" s="84"/>
      <c r="CB13" s="84" t="e">
        <f t="shared" si="17"/>
        <v>#DIV/0!</v>
      </c>
      <c r="CC13" s="84" t="e">
        <f t="shared" si="18"/>
        <v>#DIV/0!</v>
      </c>
      <c r="CD13" s="114">
        <v>36.6</v>
      </c>
      <c r="CE13" s="114">
        <v>3657.6</v>
      </c>
      <c r="CF13" s="114">
        <v>3.8</v>
      </c>
      <c r="CG13" s="114">
        <v>2981.5</v>
      </c>
      <c r="CH13" s="115">
        <f t="shared" si="42"/>
        <v>7.8512009600773593</v>
      </c>
      <c r="CI13" s="69">
        <f t="shared" si="19"/>
        <v>0</v>
      </c>
      <c r="CJ13" s="113">
        <v>11</v>
      </c>
      <c r="CK13" s="113">
        <v>11.7</v>
      </c>
      <c r="CL13" s="111">
        <f t="shared" si="36"/>
        <v>0.94017094017094027</v>
      </c>
      <c r="CM13" s="116">
        <f t="shared" si="37"/>
        <v>1</v>
      </c>
      <c r="CN13" s="109"/>
      <c r="CO13" s="116">
        <f t="shared" si="20"/>
        <v>0</v>
      </c>
      <c r="CP13" s="124">
        <v>0</v>
      </c>
      <c r="CQ13" s="124">
        <v>1</v>
      </c>
      <c r="CR13" s="124">
        <v>1</v>
      </c>
      <c r="CS13" s="124">
        <v>1</v>
      </c>
      <c r="CT13" s="124">
        <v>0</v>
      </c>
      <c r="CU13" s="115">
        <f>CP13+CQ13+CR13+CS13+CT13</f>
        <v>3</v>
      </c>
      <c r="CV13" s="116">
        <f t="shared" si="22"/>
        <v>0</v>
      </c>
      <c r="CW13" s="118">
        <v>5.4</v>
      </c>
      <c r="CX13" s="118">
        <v>3</v>
      </c>
      <c r="CY13" s="115">
        <f t="shared" si="44"/>
        <v>1.8</v>
      </c>
      <c r="CZ13" s="116">
        <f t="shared" si="39"/>
        <v>0</v>
      </c>
      <c r="DA13" s="114">
        <v>0</v>
      </c>
      <c r="DB13" s="117">
        <v>0</v>
      </c>
      <c r="DC13" s="115"/>
      <c r="DD13" s="116">
        <f>IF(AND(DC13&gt;=0.98,DC13&lt;=1.02),1,0)</f>
        <v>0</v>
      </c>
      <c r="DE13" s="117">
        <v>0</v>
      </c>
      <c r="DF13" s="116">
        <v>0</v>
      </c>
      <c r="DG13" s="114">
        <v>0</v>
      </c>
      <c r="DH13" s="117">
        <v>0</v>
      </c>
      <c r="DI13" s="115"/>
      <c r="DJ13" s="48">
        <f>IF(AND(DI13&gt;=0.98,DI13&lt;=1.02),1,0)</f>
        <v>0</v>
      </c>
      <c r="DK13" s="16"/>
      <c r="DL13" s="48">
        <f t="shared" si="25"/>
        <v>0</v>
      </c>
      <c r="DM13" s="16"/>
      <c r="DN13" s="48">
        <f t="shared" si="26"/>
        <v>0</v>
      </c>
      <c r="DO13" s="79">
        <v>0</v>
      </c>
      <c r="DP13" s="48">
        <v>0</v>
      </c>
      <c r="DQ13" s="79"/>
      <c r="DR13" s="48"/>
      <c r="DS13" s="79"/>
      <c r="DT13" s="48"/>
      <c r="DU13" s="16"/>
      <c r="DV13" s="48">
        <f t="shared" si="27"/>
        <v>0</v>
      </c>
      <c r="DW13" s="16"/>
      <c r="DX13" s="48">
        <f t="shared" si="28"/>
        <v>0</v>
      </c>
      <c r="DY13" s="16"/>
      <c r="DZ13" s="48">
        <f t="shared" si="29"/>
        <v>0</v>
      </c>
      <c r="EA13" s="16"/>
      <c r="EB13" s="48">
        <f t="shared" si="30"/>
        <v>0</v>
      </c>
      <c r="EC13" s="16"/>
      <c r="ED13" s="48">
        <f t="shared" si="40"/>
        <v>0</v>
      </c>
      <c r="EE13" s="79"/>
      <c r="EF13" s="48"/>
      <c r="EG13" s="73">
        <f t="shared" si="41"/>
        <v>7</v>
      </c>
    </row>
    <row r="14" spans="1:151" s="6" customFormat="1" ht="15" x14ac:dyDescent="0.25">
      <c r="A14" s="1" t="s">
        <v>233</v>
      </c>
      <c r="B14" s="49">
        <v>0</v>
      </c>
      <c r="C14" s="75"/>
      <c r="D14" s="74"/>
      <c r="E14" s="75"/>
      <c r="F14" s="75"/>
      <c r="G14" s="53" t="e">
        <f t="shared" si="0"/>
        <v>#DIV/0!</v>
      </c>
      <c r="H14" s="38" t="s">
        <v>73</v>
      </c>
      <c r="I14" s="69" t="e">
        <f t="shared" si="31"/>
        <v>#DIV/0!</v>
      </c>
      <c r="J14" s="74">
        <v>0</v>
      </c>
      <c r="K14" s="76"/>
      <c r="L14" s="77"/>
      <c r="M14" s="29">
        <v>0</v>
      </c>
      <c r="N14" s="54" t="e">
        <f t="shared" si="1"/>
        <v>#DIV/0!</v>
      </c>
      <c r="O14" s="38" t="s">
        <v>76</v>
      </c>
      <c r="P14" s="48" t="e">
        <f>IF(N14&lt;=0.5,1,0)</f>
        <v>#DIV/0!</v>
      </c>
      <c r="Q14" s="49">
        <v>0</v>
      </c>
      <c r="R14" s="61">
        <v>0</v>
      </c>
      <c r="S14" s="56">
        <v>0</v>
      </c>
      <c r="T14" s="38" t="s">
        <v>77</v>
      </c>
      <c r="U14" s="48">
        <f t="shared" si="2"/>
        <v>1</v>
      </c>
      <c r="V14" s="124">
        <v>1615.6</v>
      </c>
      <c r="W14" s="124">
        <v>1984</v>
      </c>
      <c r="X14" s="111">
        <f t="shared" si="3"/>
        <v>0.81431451612903216</v>
      </c>
      <c r="Y14" s="115" t="s">
        <v>77</v>
      </c>
      <c r="Z14" s="116">
        <f t="shared" si="4"/>
        <v>1</v>
      </c>
      <c r="AA14" s="118">
        <v>229.3</v>
      </c>
      <c r="AB14" s="118">
        <v>1208.7</v>
      </c>
      <c r="AC14" s="125">
        <f t="shared" si="5"/>
        <v>0.18970795069082486</v>
      </c>
      <c r="AD14" s="115" t="s">
        <v>77</v>
      </c>
      <c r="AE14" s="116">
        <f t="shared" si="6"/>
        <v>1</v>
      </c>
      <c r="AF14" s="105">
        <v>0</v>
      </c>
      <c r="AG14" s="101"/>
      <c r="AH14" s="104" t="e">
        <f t="shared" si="32"/>
        <v>#DIV/0!</v>
      </c>
      <c r="AI14" s="104" t="s">
        <v>288</v>
      </c>
      <c r="AJ14" s="89" t="e">
        <f t="shared" si="33"/>
        <v>#DIV/0!</v>
      </c>
      <c r="AK14" s="83"/>
      <c r="AL14" s="83"/>
      <c r="AM14" s="106">
        <v>0</v>
      </c>
      <c r="AN14" s="104" t="s">
        <v>86</v>
      </c>
      <c r="AO14" s="89">
        <f t="shared" si="7"/>
        <v>1</v>
      </c>
      <c r="AP14" s="124">
        <v>1282.7</v>
      </c>
      <c r="AQ14" s="114">
        <v>1304.3</v>
      </c>
      <c r="AR14" s="111">
        <f t="shared" si="8"/>
        <v>0.98343939277773529</v>
      </c>
      <c r="AS14" s="116">
        <f t="shared" si="34"/>
        <v>2</v>
      </c>
      <c r="AT14" s="83"/>
      <c r="AU14" s="83">
        <v>52</v>
      </c>
      <c r="AV14" s="103">
        <f t="shared" si="9"/>
        <v>0</v>
      </c>
      <c r="AW14" s="89">
        <f t="shared" si="10"/>
        <v>-1</v>
      </c>
      <c r="AX14" s="119">
        <v>163.69999999999999</v>
      </c>
      <c r="AY14" s="119">
        <v>700.8</v>
      </c>
      <c r="AZ14" s="111">
        <f>AX14/AY14</f>
        <v>0.23359018264840181</v>
      </c>
      <c r="BA14" s="116">
        <f t="shared" si="35"/>
        <v>0</v>
      </c>
      <c r="BB14" s="101"/>
      <c r="BC14" s="114">
        <v>1304.3</v>
      </c>
      <c r="BD14" s="101"/>
      <c r="BE14" s="101"/>
      <c r="BF14" s="115">
        <f t="shared" si="11"/>
        <v>0</v>
      </c>
      <c r="BG14" s="116">
        <f t="shared" si="12"/>
        <v>0</v>
      </c>
      <c r="BH14" s="119">
        <v>700.8</v>
      </c>
      <c r="BI14" s="124">
        <f>1190.3+316.6</f>
        <v>1506.9</v>
      </c>
      <c r="BJ14" s="112">
        <v>594.1</v>
      </c>
      <c r="BK14" s="124">
        <v>1506.9</v>
      </c>
      <c r="BL14" s="111">
        <f t="shared" si="13"/>
        <v>1.1795993940414071</v>
      </c>
      <c r="BM14" s="116">
        <f t="shared" si="14"/>
        <v>1</v>
      </c>
      <c r="BN14" s="83"/>
      <c r="BO14" s="83"/>
      <c r="BP14" s="107"/>
      <c r="BQ14" s="84"/>
      <c r="BR14" s="108">
        <v>0</v>
      </c>
      <c r="BS14" s="89">
        <f t="shared" si="15"/>
        <v>0</v>
      </c>
      <c r="BT14" s="117" t="s">
        <v>296</v>
      </c>
      <c r="BU14" s="116">
        <v>0</v>
      </c>
      <c r="BV14" s="124">
        <v>0</v>
      </c>
      <c r="BW14" s="116">
        <f t="shared" si="16"/>
        <v>0</v>
      </c>
      <c r="BX14" s="83"/>
      <c r="BY14" s="83"/>
      <c r="BZ14" s="83"/>
      <c r="CA14" s="84"/>
      <c r="CB14" s="84" t="e">
        <f t="shared" si="17"/>
        <v>#DIV/0!</v>
      </c>
      <c r="CC14" s="84" t="e">
        <f t="shared" si="18"/>
        <v>#DIV/0!</v>
      </c>
      <c r="CD14" s="114">
        <v>88.1</v>
      </c>
      <c r="CE14" s="114">
        <v>4210.3999999999996</v>
      </c>
      <c r="CF14" s="114">
        <v>20.5</v>
      </c>
      <c r="CG14" s="114">
        <v>3568.2</v>
      </c>
      <c r="CH14" s="115">
        <f t="shared" si="42"/>
        <v>3.6420665668750551</v>
      </c>
      <c r="CI14" s="69">
        <f t="shared" si="19"/>
        <v>0</v>
      </c>
      <c r="CJ14" s="113">
        <v>24</v>
      </c>
      <c r="CK14" s="113">
        <v>24.8</v>
      </c>
      <c r="CL14" s="111">
        <f t="shared" si="36"/>
        <v>0.96774193548387089</v>
      </c>
      <c r="CM14" s="116">
        <f t="shared" si="37"/>
        <v>1</v>
      </c>
      <c r="CN14" s="109"/>
      <c r="CO14" s="116">
        <f t="shared" si="20"/>
        <v>0</v>
      </c>
      <c r="CP14" s="124">
        <v>1</v>
      </c>
      <c r="CQ14" s="124">
        <v>1</v>
      </c>
      <c r="CR14" s="124">
        <v>1</v>
      </c>
      <c r="CS14" s="124">
        <v>1</v>
      </c>
      <c r="CT14" s="124">
        <v>1</v>
      </c>
      <c r="CU14" s="115">
        <f>CP14+CQ14+CR14+CS14+CT14</f>
        <v>5</v>
      </c>
      <c r="CV14" s="116">
        <f t="shared" si="22"/>
        <v>1</v>
      </c>
      <c r="CW14" s="118">
        <v>4.9000000000000004</v>
      </c>
      <c r="CX14" s="118">
        <v>3.1</v>
      </c>
      <c r="CY14" s="115">
        <f t="shared" si="44"/>
        <v>1.5806451612903227</v>
      </c>
      <c r="CZ14" s="116">
        <f t="shared" si="39"/>
        <v>0</v>
      </c>
      <c r="DA14" s="120">
        <v>9</v>
      </c>
      <c r="DB14" s="117">
        <v>0</v>
      </c>
      <c r="DC14" s="115"/>
      <c r="DD14" s="116">
        <f t="shared" si="46"/>
        <v>0</v>
      </c>
      <c r="DE14" s="117">
        <v>0</v>
      </c>
      <c r="DF14" s="116">
        <v>0</v>
      </c>
      <c r="DG14" s="119">
        <v>4.5</v>
      </c>
      <c r="DH14" s="121">
        <v>4.5</v>
      </c>
      <c r="DI14" s="115">
        <f>DG14/DH14</f>
        <v>1</v>
      </c>
      <c r="DJ14" s="48">
        <f>IF(AND(DI14&gt;=0.98,DI14&lt;=1.02),1,0)</f>
        <v>1</v>
      </c>
      <c r="DK14" s="78"/>
      <c r="DL14" s="48">
        <f t="shared" si="25"/>
        <v>0</v>
      </c>
      <c r="DM14" s="78" t="s">
        <v>124</v>
      </c>
      <c r="DN14" s="48">
        <f t="shared" si="26"/>
        <v>0.5</v>
      </c>
      <c r="DO14" s="79">
        <v>0</v>
      </c>
      <c r="DP14" s="48">
        <v>0</v>
      </c>
      <c r="DQ14" s="79"/>
      <c r="DR14" s="48"/>
      <c r="DS14" s="79"/>
      <c r="DT14" s="48"/>
      <c r="DU14" s="78"/>
      <c r="DV14" s="48">
        <f t="shared" si="27"/>
        <v>0</v>
      </c>
      <c r="DW14" s="78"/>
      <c r="DX14" s="48">
        <f t="shared" si="28"/>
        <v>0</v>
      </c>
      <c r="DY14" s="16"/>
      <c r="DZ14" s="48">
        <f t="shared" si="29"/>
        <v>0</v>
      </c>
      <c r="EA14" s="78" t="s">
        <v>125</v>
      </c>
      <c r="EB14" s="48">
        <f t="shared" si="30"/>
        <v>0.5</v>
      </c>
      <c r="EC14" s="16"/>
      <c r="ED14" s="48">
        <f t="shared" si="40"/>
        <v>0</v>
      </c>
      <c r="EE14" s="79"/>
      <c r="EF14" s="48"/>
      <c r="EG14" s="73">
        <f t="shared" si="41"/>
        <v>9</v>
      </c>
    </row>
    <row r="15" spans="1:151" ht="15" x14ac:dyDescent="0.25">
      <c r="A15" s="1" t="s">
        <v>234</v>
      </c>
      <c r="B15" s="49">
        <v>0</v>
      </c>
      <c r="C15" s="27"/>
      <c r="D15" s="13"/>
      <c r="E15" s="28"/>
      <c r="F15" s="28"/>
      <c r="G15" s="53" t="e">
        <f t="shared" si="0"/>
        <v>#DIV/0!</v>
      </c>
      <c r="H15" s="38" t="s">
        <v>74</v>
      </c>
      <c r="I15" s="69" t="e">
        <f>IF(G15&lt;=0.1,1,0)</f>
        <v>#DIV/0!</v>
      </c>
      <c r="J15" s="13">
        <v>0</v>
      </c>
      <c r="K15" s="14"/>
      <c r="L15" s="70"/>
      <c r="M15" s="29">
        <v>0</v>
      </c>
      <c r="N15" s="54" t="e">
        <f t="shared" si="1"/>
        <v>#DIV/0!</v>
      </c>
      <c r="O15" s="38" t="s">
        <v>77</v>
      </c>
      <c r="P15" s="48" t="e">
        <f>IF(N15&lt;=1,1,0)</f>
        <v>#DIV/0!</v>
      </c>
      <c r="Q15" s="49">
        <v>0</v>
      </c>
      <c r="R15" s="61">
        <v>0</v>
      </c>
      <c r="S15" s="56">
        <v>0</v>
      </c>
      <c r="T15" s="38" t="s">
        <v>77</v>
      </c>
      <c r="U15" s="48">
        <f t="shared" si="2"/>
        <v>1</v>
      </c>
      <c r="V15" s="124">
        <v>5224</v>
      </c>
      <c r="W15" s="124">
        <v>0</v>
      </c>
      <c r="X15" s="111">
        <v>0</v>
      </c>
      <c r="Y15" s="115" t="s">
        <v>77</v>
      </c>
      <c r="Z15" s="116">
        <f t="shared" si="4"/>
        <v>1</v>
      </c>
      <c r="AA15" s="118">
        <v>809.3</v>
      </c>
      <c r="AB15" s="118">
        <v>3467.3</v>
      </c>
      <c r="AC15" s="125">
        <f t="shared" si="5"/>
        <v>0.23340928099674096</v>
      </c>
      <c r="AD15" s="115" t="s">
        <v>77</v>
      </c>
      <c r="AE15" s="116">
        <f t="shared" si="6"/>
        <v>1</v>
      </c>
      <c r="AF15" s="105">
        <v>0</v>
      </c>
      <c r="AG15" s="101"/>
      <c r="AH15" s="104" t="e">
        <f t="shared" si="32"/>
        <v>#DIV/0!</v>
      </c>
      <c r="AI15" s="104" t="s">
        <v>288</v>
      </c>
      <c r="AJ15" s="89" t="e">
        <f t="shared" si="33"/>
        <v>#DIV/0!</v>
      </c>
      <c r="AK15" s="83"/>
      <c r="AL15" s="83"/>
      <c r="AM15" s="106">
        <v>0</v>
      </c>
      <c r="AN15" s="104" t="s">
        <v>86</v>
      </c>
      <c r="AO15" s="89">
        <f t="shared" si="7"/>
        <v>1</v>
      </c>
      <c r="AP15" s="124">
        <v>4884.3999999999996</v>
      </c>
      <c r="AQ15" s="114">
        <v>5447.1</v>
      </c>
      <c r="AR15" s="111">
        <f>AP15/AQ15</f>
        <v>0.89669732518220691</v>
      </c>
      <c r="AS15" s="116">
        <f t="shared" si="34"/>
        <v>2</v>
      </c>
      <c r="AT15" s="83"/>
      <c r="AU15" s="83">
        <v>43</v>
      </c>
      <c r="AV15" s="103">
        <f t="shared" si="9"/>
        <v>0</v>
      </c>
      <c r="AW15" s="89">
        <f t="shared" si="10"/>
        <v>-1</v>
      </c>
      <c r="AX15" s="119">
        <v>2552.6999999999998</v>
      </c>
      <c r="AY15" s="119">
        <v>13595.3</v>
      </c>
      <c r="AZ15" s="111">
        <f>AX15/AY15</f>
        <v>0.1877634182401271</v>
      </c>
      <c r="BA15" s="116">
        <f t="shared" si="35"/>
        <v>0</v>
      </c>
      <c r="BB15" s="101"/>
      <c r="BC15" s="114">
        <v>5447.1</v>
      </c>
      <c r="BD15" s="101"/>
      <c r="BE15" s="101"/>
      <c r="BF15" s="115">
        <f t="shared" si="11"/>
        <v>0</v>
      </c>
      <c r="BG15" s="116">
        <f t="shared" si="12"/>
        <v>0</v>
      </c>
      <c r="BH15" s="119">
        <v>14339.3</v>
      </c>
      <c r="BI15" s="124">
        <f>151.6</f>
        <v>151.6</v>
      </c>
      <c r="BJ15" s="112">
        <v>12630.4</v>
      </c>
      <c r="BK15" s="124">
        <v>151.6</v>
      </c>
      <c r="BL15" s="111">
        <v>0</v>
      </c>
      <c r="BM15" s="116">
        <v>1</v>
      </c>
      <c r="BN15" s="83"/>
      <c r="BO15" s="83"/>
      <c r="BP15" s="107"/>
      <c r="BQ15" s="84"/>
      <c r="BR15" s="108">
        <v>0</v>
      </c>
      <c r="BS15" s="89">
        <f t="shared" si="15"/>
        <v>0</v>
      </c>
      <c r="BT15" s="117" t="s">
        <v>296</v>
      </c>
      <c r="BU15" s="116">
        <v>0</v>
      </c>
      <c r="BV15" s="124">
        <v>0</v>
      </c>
      <c r="BW15" s="116">
        <f t="shared" si="16"/>
        <v>0</v>
      </c>
      <c r="BX15" s="83"/>
      <c r="BY15" s="83"/>
      <c r="BZ15" s="83"/>
      <c r="CA15" s="84"/>
      <c r="CB15" s="84" t="e">
        <f t="shared" si="17"/>
        <v>#DIV/0!</v>
      </c>
      <c r="CC15" s="84" t="e">
        <f t="shared" si="18"/>
        <v>#DIV/0!</v>
      </c>
      <c r="CD15" s="114">
        <v>262.39999999999998</v>
      </c>
      <c r="CE15" s="114">
        <v>33923</v>
      </c>
      <c r="CF15" s="114">
        <v>9.1999999999999993</v>
      </c>
      <c r="CG15" s="114">
        <v>26976.5</v>
      </c>
      <c r="CH15" s="115">
        <f t="shared" si="42"/>
        <v>22.681269217114462</v>
      </c>
      <c r="CI15" s="69">
        <f t="shared" si="19"/>
        <v>0</v>
      </c>
      <c r="CJ15" s="113">
        <v>365.9</v>
      </c>
      <c r="CK15" s="113">
        <v>496.1</v>
      </c>
      <c r="CL15" s="111">
        <f t="shared" si="36"/>
        <v>0.73755291271920975</v>
      </c>
      <c r="CM15" s="116">
        <f t="shared" si="37"/>
        <v>1</v>
      </c>
      <c r="CN15" s="109"/>
      <c r="CO15" s="116">
        <f t="shared" si="20"/>
        <v>0</v>
      </c>
      <c r="CP15" s="124">
        <v>1</v>
      </c>
      <c r="CQ15" s="124">
        <v>1</v>
      </c>
      <c r="CR15" s="124">
        <v>0</v>
      </c>
      <c r="CS15" s="124">
        <v>0</v>
      </c>
      <c r="CT15" s="124">
        <v>0</v>
      </c>
      <c r="CU15" s="115">
        <f t="shared" si="21"/>
        <v>2</v>
      </c>
      <c r="CV15" s="116">
        <f t="shared" si="22"/>
        <v>0</v>
      </c>
      <c r="CW15" s="118">
        <v>178.2</v>
      </c>
      <c r="CX15" s="118">
        <v>88</v>
      </c>
      <c r="CY15" s="115">
        <f t="shared" si="44"/>
        <v>2.0249999999999999</v>
      </c>
      <c r="CZ15" s="116">
        <f t="shared" si="39"/>
        <v>0</v>
      </c>
      <c r="DA15" s="114">
        <v>0</v>
      </c>
      <c r="DB15" s="117">
        <v>0</v>
      </c>
      <c r="DC15" s="115"/>
      <c r="DD15" s="116">
        <f t="shared" si="46"/>
        <v>0</v>
      </c>
      <c r="DE15" s="117">
        <v>5</v>
      </c>
      <c r="DF15" s="116">
        <v>1</v>
      </c>
      <c r="DG15" s="122">
        <v>35.299999999999997</v>
      </c>
      <c r="DH15" s="121">
        <v>27.1</v>
      </c>
      <c r="DI15" s="115">
        <f t="shared" si="23"/>
        <v>1.3025830258302582</v>
      </c>
      <c r="DJ15" s="48">
        <f>IF(AND(DI15&gt;=0.98,DI15&lt;=1.02),1,0)</f>
        <v>0</v>
      </c>
      <c r="DK15" s="16"/>
      <c r="DL15" s="48">
        <f t="shared" si="25"/>
        <v>0</v>
      </c>
      <c r="DM15" s="16" t="s">
        <v>161</v>
      </c>
      <c r="DN15" s="48">
        <f t="shared" si="26"/>
        <v>0.5</v>
      </c>
      <c r="DO15" s="79">
        <v>0</v>
      </c>
      <c r="DP15" s="48">
        <v>0</v>
      </c>
      <c r="DQ15" s="79"/>
      <c r="DR15" s="48"/>
      <c r="DS15" s="79"/>
      <c r="DT15" s="48"/>
      <c r="DU15" s="16"/>
      <c r="DV15" s="48">
        <f t="shared" si="27"/>
        <v>0</v>
      </c>
      <c r="DW15" s="16"/>
      <c r="DX15" s="48">
        <f t="shared" si="28"/>
        <v>0</v>
      </c>
      <c r="DY15" s="16"/>
      <c r="DZ15" s="48">
        <f t="shared" si="29"/>
        <v>0</v>
      </c>
      <c r="EA15" s="16"/>
      <c r="EB15" s="48">
        <f t="shared" si="30"/>
        <v>0</v>
      </c>
      <c r="EC15" s="16"/>
      <c r="ED15" s="48">
        <f t="shared" si="40"/>
        <v>0</v>
      </c>
      <c r="EE15" s="79"/>
      <c r="EF15" s="48"/>
      <c r="EG15" s="73">
        <f t="shared" si="41"/>
        <v>8</v>
      </c>
    </row>
    <row r="16" spans="1:151" ht="15" hidden="1" x14ac:dyDescent="0.25">
      <c r="A16" s="1" t="s">
        <v>1</v>
      </c>
      <c r="B16" s="13"/>
      <c r="C16" s="27">
        <v>52808.800000000003</v>
      </c>
      <c r="D16" s="13">
        <v>47075.8</v>
      </c>
      <c r="E16" s="28"/>
      <c r="F16" s="28"/>
      <c r="G16" s="53">
        <f t="shared" ref="G16:G35" si="47">(B16)/(C16-D16-E16)</f>
        <v>0</v>
      </c>
      <c r="H16" s="38" t="s">
        <v>73</v>
      </c>
      <c r="I16" s="69">
        <f>IF(G16&lt;=0.05,1,0)</f>
        <v>1</v>
      </c>
      <c r="J16" s="13">
        <v>3089.13</v>
      </c>
      <c r="K16" s="14">
        <v>238254</v>
      </c>
      <c r="L16" s="70">
        <v>212460.3</v>
      </c>
      <c r="M16" s="29"/>
      <c r="N16" s="57">
        <f t="shared" ref="N16:N48" si="48">J16/(K16-L16-M16)</f>
        <v>0.119762965375266</v>
      </c>
      <c r="O16" s="38" t="s">
        <v>76</v>
      </c>
      <c r="P16" s="48">
        <f>IF(N16&lt;=0.5,1,0)</f>
        <v>1</v>
      </c>
      <c r="Q16" s="13">
        <v>3089.13</v>
      </c>
      <c r="R16" s="31">
        <v>10000</v>
      </c>
      <c r="S16" s="56">
        <f>Q16/R16</f>
        <v>0.30891299999999999</v>
      </c>
      <c r="T16" s="38" t="s">
        <v>77</v>
      </c>
      <c r="U16" s="48">
        <f t="shared" ref="U16:U48" si="49">IF(Q16&gt;R16,0,1)</f>
        <v>1</v>
      </c>
      <c r="V16" s="16">
        <v>14946.9</v>
      </c>
      <c r="W16" s="16">
        <v>16709</v>
      </c>
      <c r="X16" s="56">
        <f t="shared" ref="X16:X48" si="50">V16/W16</f>
        <v>0.89454186366628763</v>
      </c>
      <c r="Y16" s="38" t="s">
        <v>77</v>
      </c>
      <c r="Z16" s="48">
        <f t="shared" ref="Z16:Z48" si="51">IF(X16&lt;=1,1,0)</f>
        <v>1</v>
      </c>
      <c r="AA16" s="94"/>
      <c r="AB16" s="94"/>
      <c r="AC16" s="63" t="e">
        <f t="shared" ref="AC16:AC48" si="52">AA16/AB16</f>
        <v>#DIV/0!</v>
      </c>
      <c r="AD16" s="38" t="s">
        <v>77</v>
      </c>
      <c r="AE16" s="48" t="e">
        <f t="shared" ref="AE16:AE48" si="53">IF(AC16&lt;=1,1,0)</f>
        <v>#DIV/0!</v>
      </c>
      <c r="AF16" s="48"/>
      <c r="AG16" s="48"/>
      <c r="AH16" s="48"/>
      <c r="AI16" s="48"/>
      <c r="AJ16" s="48"/>
      <c r="AK16" s="16"/>
      <c r="AL16" s="16"/>
      <c r="AM16" s="64">
        <v>0</v>
      </c>
      <c r="AN16" s="38" t="s">
        <v>86</v>
      </c>
      <c r="AO16" s="48">
        <f t="shared" ref="AO16:AO48" si="54">IF(AK16=0,1,0)</f>
        <v>1</v>
      </c>
      <c r="AP16" s="83">
        <v>233</v>
      </c>
      <c r="AQ16" s="84">
        <v>13889.8</v>
      </c>
      <c r="AR16" s="57">
        <f t="shared" ref="AR16:AR48" si="55">AP16/AQ16</f>
        <v>1.6774899566588432E-2</v>
      </c>
      <c r="AS16" s="48">
        <f t="shared" ref="AS16:AS48" si="56">IF(AR16&gt;=0.6,5,IF(AR16&lt;0.3,-1,2))</f>
        <v>-1</v>
      </c>
      <c r="AT16" s="16"/>
      <c r="AU16" s="16">
        <v>44</v>
      </c>
      <c r="AV16" s="56">
        <f t="shared" ref="AV16:AV48" si="57">AT16/AU16</f>
        <v>0</v>
      </c>
      <c r="AW16" s="48">
        <f t="shared" ref="AW16:AW48" si="58">IF(AV16&gt;=0.1,2,IF(AV16&lt;0.05,-1,1))</f>
        <v>-1</v>
      </c>
      <c r="AX16" s="83">
        <v>25793.7</v>
      </c>
      <c r="AY16" s="84">
        <v>25793.7</v>
      </c>
      <c r="AZ16" s="56">
        <f t="shared" ref="AZ16:AZ48" si="59">AX16/AY16</f>
        <v>1</v>
      </c>
      <c r="BA16" s="48">
        <f t="shared" ref="BA16:BA48" si="60">IF(AND(AZ16&gt;=0.95,AZ16&lt;=1.05),1,IF(OR(AND(AZ16&gt;=0.85,AZ16&lt;0.95),AND(AZ16&gt;1.05,AZ16&lt;=1.15)),0.5,0))</f>
        <v>1</v>
      </c>
      <c r="BB16" s="48"/>
      <c r="BC16" s="48"/>
      <c r="BD16" s="48"/>
      <c r="BE16" s="48"/>
      <c r="BF16" s="48"/>
      <c r="BG16" s="48"/>
      <c r="BH16" s="96">
        <v>25793.7</v>
      </c>
      <c r="BI16" s="96">
        <v>87584</v>
      </c>
      <c r="BJ16" s="96">
        <v>30030.1</v>
      </c>
      <c r="BK16" s="96">
        <v>81815</v>
      </c>
      <c r="BL16" s="56">
        <f t="shared" ref="BL16:BL48" si="61">(BH16/BI16)/(BJ16/BK16)</f>
        <v>0.80235215786636205</v>
      </c>
      <c r="BM16" s="48">
        <f t="shared" ref="BM16:BM48" si="62">IF(BL16&gt;=1,1,0)</f>
        <v>0</v>
      </c>
      <c r="BN16" s="16"/>
      <c r="BO16" s="16"/>
      <c r="BP16" s="30"/>
      <c r="BQ16" s="29"/>
      <c r="BR16" s="66">
        <v>0</v>
      </c>
      <c r="BS16" s="48">
        <f t="shared" ref="BS16:BS48" si="63">IF(AND(BR16&gt;=0.7,BR16&lt;=1.3),1,IF(OR(AND(BR16&gt;=0.5,BR16&lt;0.7),AND(BR16&gt;1.35,BR16&lt;=1.5)),0.5,0))</f>
        <v>0</v>
      </c>
      <c r="BT16" s="48"/>
      <c r="BU16" s="48"/>
      <c r="BV16" s="16"/>
      <c r="BW16" s="48">
        <f t="shared" ref="BW16:BW48" si="64">IF(BV16&gt;0,-1,0)</f>
        <v>0</v>
      </c>
      <c r="BX16" s="16"/>
      <c r="BY16" s="16"/>
      <c r="BZ16" s="16"/>
      <c r="CA16" s="29"/>
      <c r="CB16" s="29" t="e">
        <f t="shared" ref="CB16:CB48" si="65">(BX16/BY16)/(BZ16/CA16)</f>
        <v>#DIV/0!</v>
      </c>
      <c r="CC16" s="29" t="e">
        <f t="shared" ref="CC16:CC48" si="66">IF(CB16&lt;=1,1,0)</f>
        <v>#DIV/0!</v>
      </c>
      <c r="CD16" s="29"/>
      <c r="CE16" s="84"/>
      <c r="CF16" s="97"/>
      <c r="CG16" s="97"/>
      <c r="CH16" s="29"/>
      <c r="CI16" s="29"/>
      <c r="CJ16" s="19">
        <v>3089.13</v>
      </c>
      <c r="CK16" s="94">
        <v>5732.9</v>
      </c>
      <c r="CL16" s="56" t="e">
        <f>(CJ16/CK16)/(#REF!/#REF!)</f>
        <v>#REF!</v>
      </c>
      <c r="CM16" s="80" t="e">
        <f t="shared" si="37"/>
        <v>#REF!</v>
      </c>
      <c r="CN16" s="44"/>
      <c r="CO16" s="48">
        <f t="shared" ref="CO16:CO48" si="67">IF(ISBLANK(CN16),0,-1)</f>
        <v>0</v>
      </c>
      <c r="CP16" s="83"/>
      <c r="CQ16" s="83">
        <v>1</v>
      </c>
      <c r="CR16" s="83">
        <v>1</v>
      </c>
      <c r="CS16" s="83"/>
      <c r="CT16" s="83"/>
      <c r="CU16" s="38">
        <f t="shared" ref="CU16:CU48" si="68">CP16+CQ16+CR16+CS16+CT16</f>
        <v>2</v>
      </c>
      <c r="CV16" s="48">
        <f t="shared" ref="CV16:CV48" si="69">IF(CU16&gt;=5,1,0)</f>
        <v>0</v>
      </c>
      <c r="CW16" s="89"/>
      <c r="CX16" s="89"/>
      <c r="CY16" s="48"/>
      <c r="CZ16" s="48"/>
      <c r="DA16" s="89"/>
      <c r="DB16" s="89"/>
      <c r="DC16" s="38" t="e">
        <f t="shared" ref="DC16:DC48" si="70">DA16/DB16</f>
        <v>#DIV/0!</v>
      </c>
      <c r="DD16" s="48"/>
      <c r="DE16" s="116"/>
      <c r="DF16" s="116"/>
      <c r="DG16" s="89"/>
      <c r="DH16" s="89"/>
      <c r="DI16" s="48"/>
      <c r="DJ16" s="48">
        <f t="shared" ref="DJ16:DJ48" si="71">IF(AND(DI16&gt;=0.98,DI16&lt;=1.02),1,0)</f>
        <v>0</v>
      </c>
      <c r="DK16" s="16"/>
      <c r="DL16" s="48">
        <f t="shared" ref="DL16:DL42" si="72">IF(ISBLANK(DK16),0,1)</f>
        <v>0</v>
      </c>
      <c r="DM16" s="16"/>
      <c r="DN16" s="48">
        <f t="shared" ref="DN16:DN48" si="73">IF(ISBLANK(DM16),0,0.5)</f>
        <v>0</v>
      </c>
      <c r="DO16" s="48"/>
      <c r="DP16" s="48"/>
      <c r="DQ16" s="48"/>
      <c r="DR16" s="48"/>
      <c r="DS16" s="48"/>
      <c r="DT16" s="48"/>
      <c r="DU16" s="16"/>
      <c r="DV16" s="48">
        <f t="shared" ref="DV16:DV48" si="74">IF(ISBLANK(DU16),0,0.5)</f>
        <v>0</v>
      </c>
      <c r="DW16" s="16" t="s">
        <v>162</v>
      </c>
      <c r="DX16" s="48">
        <f t="shared" ref="DX16:DX48" si="75">IF(ISBLANK(DW16),0,0.5)</f>
        <v>0.5</v>
      </c>
      <c r="DY16" s="16" t="s">
        <v>163</v>
      </c>
      <c r="DZ16" s="48">
        <f t="shared" ref="DZ16:DZ48" si="76">IF(ISBLANK(DY16),0,0.5)</f>
        <v>0.5</v>
      </c>
      <c r="EA16" s="16"/>
      <c r="EB16" s="48">
        <f t="shared" ref="EB16:EB48" si="77">IF(ISBLANK(EA16),0,0.5)</f>
        <v>0</v>
      </c>
      <c r="EC16" s="16"/>
      <c r="ED16" s="48">
        <f t="shared" ref="ED16:ED48" si="78">IF(ISBLANK(EC16),0,0.5)</f>
        <v>0</v>
      </c>
      <c r="EE16" s="48"/>
      <c r="EF16" s="48"/>
      <c r="EG16" s="73" t="e">
        <f t="shared" ref="EG16:EG48" si="79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7">
        <v>56945.9</v>
      </c>
      <c r="D17" s="13">
        <v>43953.1</v>
      </c>
      <c r="E17" s="28"/>
      <c r="F17" s="28"/>
      <c r="G17" s="53">
        <f t="shared" si="47"/>
        <v>0</v>
      </c>
      <c r="H17" s="38" t="s">
        <v>73</v>
      </c>
      <c r="I17" s="69">
        <f>IF(G17&lt;=0.05,1,0)</f>
        <v>1</v>
      </c>
      <c r="J17" s="13">
        <v>5746.62</v>
      </c>
      <c r="K17" s="14">
        <v>275005.5</v>
      </c>
      <c r="L17" s="70">
        <v>216813.4</v>
      </c>
      <c r="M17" s="29"/>
      <c r="N17" s="54">
        <f t="shared" si="48"/>
        <v>9.8752579817535352E-2</v>
      </c>
      <c r="O17" s="38" t="s">
        <v>76</v>
      </c>
      <c r="P17" s="48">
        <f>IF(N17&lt;=0.5,1,0)</f>
        <v>1</v>
      </c>
      <c r="Q17" s="13">
        <v>5746.62</v>
      </c>
      <c r="R17" s="31">
        <v>29096</v>
      </c>
      <c r="S17" s="56">
        <f>Q17/R17</f>
        <v>0.1975054990376684</v>
      </c>
      <c r="T17" s="38" t="s">
        <v>77</v>
      </c>
      <c r="U17" s="48">
        <f t="shared" si="49"/>
        <v>1</v>
      </c>
      <c r="V17" s="16">
        <v>15332.6</v>
      </c>
      <c r="W17" s="16">
        <v>16032</v>
      </c>
      <c r="X17" s="56">
        <f t="shared" si="50"/>
        <v>0.956374750499002</v>
      </c>
      <c r="Y17" s="38" t="s">
        <v>77</v>
      </c>
      <c r="Z17" s="48">
        <f t="shared" si="51"/>
        <v>1</v>
      </c>
      <c r="AA17" s="94"/>
      <c r="AB17" s="94"/>
      <c r="AC17" s="63" t="e">
        <f t="shared" si="52"/>
        <v>#DIV/0!</v>
      </c>
      <c r="AD17" s="38" t="s">
        <v>77</v>
      </c>
      <c r="AE17" s="48" t="e">
        <f t="shared" si="53"/>
        <v>#DIV/0!</v>
      </c>
      <c r="AF17" s="48"/>
      <c r="AG17" s="48"/>
      <c r="AH17" s="48"/>
      <c r="AI17" s="48"/>
      <c r="AJ17" s="48"/>
      <c r="AK17" s="16"/>
      <c r="AL17" s="16"/>
      <c r="AM17" s="64">
        <v>0</v>
      </c>
      <c r="AN17" s="38" t="s">
        <v>86</v>
      </c>
      <c r="AO17" s="48">
        <f t="shared" si="54"/>
        <v>1</v>
      </c>
      <c r="AP17" s="83">
        <v>269.5</v>
      </c>
      <c r="AQ17" s="84">
        <v>32606.400000000001</v>
      </c>
      <c r="AR17" s="57">
        <f t="shared" si="55"/>
        <v>8.2652485401638939E-3</v>
      </c>
      <c r="AS17" s="48">
        <f t="shared" si="56"/>
        <v>-1</v>
      </c>
      <c r="AT17" s="16"/>
      <c r="AU17" s="16">
        <v>41</v>
      </c>
      <c r="AV17" s="56">
        <f t="shared" si="57"/>
        <v>0</v>
      </c>
      <c r="AW17" s="48">
        <f t="shared" si="58"/>
        <v>-1</v>
      </c>
      <c r="AX17" s="83">
        <v>58192.1</v>
      </c>
      <c r="AY17" s="83">
        <v>58201.5</v>
      </c>
      <c r="AZ17" s="56">
        <f t="shared" si="59"/>
        <v>0.99983849213508236</v>
      </c>
      <c r="BA17" s="48">
        <f t="shared" si="60"/>
        <v>1</v>
      </c>
      <c r="BB17" s="48"/>
      <c r="BC17" s="48"/>
      <c r="BD17" s="48"/>
      <c r="BE17" s="48"/>
      <c r="BF17" s="48"/>
      <c r="BG17" s="48"/>
      <c r="BH17" s="96">
        <v>58192.1</v>
      </c>
      <c r="BI17" s="96">
        <v>62621</v>
      </c>
      <c r="BJ17" s="96">
        <v>54105.7</v>
      </c>
      <c r="BK17" s="96">
        <v>55876</v>
      </c>
      <c r="BL17" s="56">
        <f t="shared" si="61"/>
        <v>0.95967972565014481</v>
      </c>
      <c r="BM17" s="48">
        <f t="shared" si="62"/>
        <v>0</v>
      </c>
      <c r="BN17" s="16"/>
      <c r="BO17" s="16"/>
      <c r="BP17" s="30"/>
      <c r="BQ17" s="29"/>
      <c r="BR17" s="66">
        <v>0</v>
      </c>
      <c r="BS17" s="48">
        <f t="shared" si="63"/>
        <v>0</v>
      </c>
      <c r="BT17" s="48"/>
      <c r="BU17" s="48"/>
      <c r="BV17" s="16">
        <v>1379.2</v>
      </c>
      <c r="BW17" s="48">
        <f t="shared" si="64"/>
        <v>-1</v>
      </c>
      <c r="BX17" s="16"/>
      <c r="BY17" s="16"/>
      <c r="BZ17" s="16"/>
      <c r="CA17" s="29"/>
      <c r="CB17" s="29" t="e">
        <f t="shared" si="65"/>
        <v>#DIV/0!</v>
      </c>
      <c r="CC17" s="29" t="e">
        <f t="shared" si="66"/>
        <v>#DIV/0!</v>
      </c>
      <c r="CD17" s="29"/>
      <c r="CE17" s="84"/>
      <c r="CF17" s="97"/>
      <c r="CG17" s="97"/>
      <c r="CH17" s="29"/>
      <c r="CI17" s="29"/>
      <c r="CJ17" s="19">
        <v>5746.62</v>
      </c>
      <c r="CK17" s="94">
        <v>12992.8</v>
      </c>
      <c r="CL17" s="56" t="e">
        <f>(CJ17/CK17)/(#REF!/#REF!)</f>
        <v>#REF!</v>
      </c>
      <c r="CM17" s="80" t="e">
        <f t="shared" si="37"/>
        <v>#REF!</v>
      </c>
      <c r="CN17" s="44"/>
      <c r="CO17" s="48">
        <f t="shared" si="67"/>
        <v>0</v>
      </c>
      <c r="CP17" s="83"/>
      <c r="CQ17" s="83">
        <v>1</v>
      </c>
      <c r="CR17" s="83"/>
      <c r="CS17" s="83"/>
      <c r="CT17" s="83"/>
      <c r="CU17" s="38">
        <f t="shared" si="68"/>
        <v>1</v>
      </c>
      <c r="CV17" s="48">
        <f t="shared" si="69"/>
        <v>0</v>
      </c>
      <c r="CW17" s="89"/>
      <c r="CX17" s="89"/>
      <c r="CY17" s="48"/>
      <c r="CZ17" s="48"/>
      <c r="DA17" s="89"/>
      <c r="DB17" s="89"/>
      <c r="DC17" s="38" t="e">
        <f t="shared" si="70"/>
        <v>#DIV/0!</v>
      </c>
      <c r="DD17" s="48"/>
      <c r="DE17" s="116"/>
      <c r="DF17" s="116"/>
      <c r="DG17" s="89"/>
      <c r="DH17" s="89"/>
      <c r="DI17" s="48"/>
      <c r="DJ17" s="48">
        <f t="shared" si="71"/>
        <v>0</v>
      </c>
      <c r="DK17" s="16" t="s">
        <v>107</v>
      </c>
      <c r="DL17" s="48">
        <f t="shared" si="72"/>
        <v>1</v>
      </c>
      <c r="DM17" s="16"/>
      <c r="DN17" s="48">
        <f t="shared" si="73"/>
        <v>0</v>
      </c>
      <c r="DO17" s="48"/>
      <c r="DP17" s="48"/>
      <c r="DQ17" s="48"/>
      <c r="DR17" s="48"/>
      <c r="DS17" s="48"/>
      <c r="DT17" s="48"/>
      <c r="DU17" s="16" t="s">
        <v>108</v>
      </c>
      <c r="DV17" s="48">
        <f t="shared" si="74"/>
        <v>0.5</v>
      </c>
      <c r="DW17" s="16" t="s">
        <v>110</v>
      </c>
      <c r="DX17" s="48">
        <f t="shared" si="75"/>
        <v>0.5</v>
      </c>
      <c r="DY17" s="16" t="s">
        <v>109</v>
      </c>
      <c r="DZ17" s="48">
        <f t="shared" si="76"/>
        <v>0.5</v>
      </c>
      <c r="EA17" s="16"/>
      <c r="EB17" s="48">
        <f t="shared" si="77"/>
        <v>0</v>
      </c>
      <c r="EC17" s="16"/>
      <c r="ED17" s="48">
        <f t="shared" si="78"/>
        <v>0</v>
      </c>
      <c r="EE17" s="48"/>
      <c r="EF17" s="48"/>
      <c r="EG17" s="73" t="e">
        <f t="shared" si="79"/>
        <v>#DIV/0!</v>
      </c>
    </row>
    <row r="18" spans="1:137" ht="15" hidden="1" x14ac:dyDescent="0.25">
      <c r="A18" s="1" t="s">
        <v>3</v>
      </c>
      <c r="B18" s="13"/>
      <c r="C18" s="27">
        <v>26259.200000000001</v>
      </c>
      <c r="D18" s="13">
        <v>22162.5</v>
      </c>
      <c r="E18" s="28"/>
      <c r="F18" s="28"/>
      <c r="G18" s="53">
        <f t="shared" si="47"/>
        <v>0</v>
      </c>
      <c r="H18" s="38" t="s">
        <v>73</v>
      </c>
      <c r="I18" s="69">
        <f>IF(G18&lt;=0.05,1,0)</f>
        <v>1</v>
      </c>
      <c r="J18" s="13"/>
      <c r="K18" s="14">
        <v>126792.1</v>
      </c>
      <c r="L18" s="70">
        <v>110378.7</v>
      </c>
      <c r="M18" s="29"/>
      <c r="N18" s="54">
        <f t="shared" si="48"/>
        <v>0</v>
      </c>
      <c r="O18" s="38" t="s">
        <v>76</v>
      </c>
      <c r="P18" s="48">
        <f>IF(N18&lt;=0.5,1,0)</f>
        <v>1</v>
      </c>
      <c r="Q18" s="13"/>
      <c r="R18" s="31">
        <v>0</v>
      </c>
      <c r="S18" s="56">
        <v>0</v>
      </c>
      <c r="T18" s="38" t="s">
        <v>77</v>
      </c>
      <c r="U18" s="48">
        <f t="shared" si="49"/>
        <v>1</v>
      </c>
      <c r="V18" s="16">
        <v>11607.6</v>
      </c>
      <c r="W18" s="16">
        <v>13672</v>
      </c>
      <c r="X18" s="56">
        <f t="shared" si="50"/>
        <v>0.84900526623756589</v>
      </c>
      <c r="Y18" s="38" t="s">
        <v>77</v>
      </c>
      <c r="Z18" s="48">
        <f t="shared" si="51"/>
        <v>1</v>
      </c>
      <c r="AA18" s="94"/>
      <c r="AB18" s="94"/>
      <c r="AC18" s="63" t="e">
        <f t="shared" si="52"/>
        <v>#DIV/0!</v>
      </c>
      <c r="AD18" s="38" t="s">
        <v>77</v>
      </c>
      <c r="AE18" s="48" t="e">
        <f t="shared" si="53"/>
        <v>#DIV/0!</v>
      </c>
      <c r="AF18" s="48"/>
      <c r="AG18" s="48"/>
      <c r="AH18" s="48"/>
      <c r="AI18" s="48"/>
      <c r="AJ18" s="48"/>
      <c r="AK18" s="16"/>
      <c r="AL18" s="16"/>
      <c r="AM18" s="64">
        <v>0</v>
      </c>
      <c r="AN18" s="38" t="s">
        <v>86</v>
      </c>
      <c r="AO18" s="48">
        <f t="shared" si="54"/>
        <v>1</v>
      </c>
      <c r="AP18" s="83">
        <v>105.8</v>
      </c>
      <c r="AQ18" s="84">
        <v>2450.4</v>
      </c>
      <c r="AR18" s="57">
        <f t="shared" si="55"/>
        <v>4.3176624224616385E-2</v>
      </c>
      <c r="AS18" s="48">
        <f t="shared" si="56"/>
        <v>-1</v>
      </c>
      <c r="AT18" s="16"/>
      <c r="AU18" s="16">
        <v>38</v>
      </c>
      <c r="AV18" s="56">
        <f t="shared" si="57"/>
        <v>0</v>
      </c>
      <c r="AW18" s="48">
        <f t="shared" si="58"/>
        <v>-1</v>
      </c>
      <c r="AX18" s="83">
        <v>16413.400000000001</v>
      </c>
      <c r="AY18" s="83">
        <v>16413.400000000001</v>
      </c>
      <c r="AZ18" s="56">
        <f t="shared" si="59"/>
        <v>1</v>
      </c>
      <c r="BA18" s="48">
        <f t="shared" si="60"/>
        <v>1</v>
      </c>
      <c r="BB18" s="48"/>
      <c r="BC18" s="48"/>
      <c r="BD18" s="48"/>
      <c r="BE18" s="48"/>
      <c r="BF18" s="48"/>
      <c r="BG18" s="48"/>
      <c r="BH18" s="96">
        <v>16413.400000000001</v>
      </c>
      <c r="BI18" s="96">
        <v>42384</v>
      </c>
      <c r="BJ18" s="96">
        <v>14414.9</v>
      </c>
      <c r="BK18" s="96">
        <v>39878</v>
      </c>
      <c r="BL18" s="56">
        <f t="shared" si="61"/>
        <v>1.0713178663249332</v>
      </c>
      <c r="BM18" s="48">
        <f t="shared" si="62"/>
        <v>1</v>
      </c>
      <c r="BN18" s="16"/>
      <c r="BO18" s="16"/>
      <c r="BP18" s="30"/>
      <c r="BQ18" s="29"/>
      <c r="BR18" s="66">
        <v>0</v>
      </c>
      <c r="BS18" s="48">
        <f t="shared" si="63"/>
        <v>0</v>
      </c>
      <c r="BT18" s="48"/>
      <c r="BU18" s="48"/>
      <c r="BV18" s="16"/>
      <c r="BW18" s="48">
        <f t="shared" si="64"/>
        <v>0</v>
      </c>
      <c r="BX18" s="16"/>
      <c r="BY18" s="16"/>
      <c r="BZ18" s="16"/>
      <c r="CA18" s="29"/>
      <c r="CB18" s="29" t="e">
        <f t="shared" si="65"/>
        <v>#DIV/0!</v>
      </c>
      <c r="CC18" s="29" t="e">
        <f t="shared" si="66"/>
        <v>#DIV/0!</v>
      </c>
      <c r="CD18" s="29"/>
      <c r="CE18" s="84"/>
      <c r="CF18" s="97"/>
      <c r="CG18" s="97"/>
      <c r="CH18" s="29"/>
      <c r="CI18" s="29"/>
      <c r="CJ18" s="19"/>
      <c r="CK18" s="94">
        <v>4096.7</v>
      </c>
      <c r="CL18" s="56">
        <v>0</v>
      </c>
      <c r="CM18" s="80">
        <f t="shared" si="37"/>
        <v>1</v>
      </c>
      <c r="CN18" s="44"/>
      <c r="CO18" s="48">
        <f t="shared" si="67"/>
        <v>0</v>
      </c>
      <c r="CP18" s="83">
        <v>1</v>
      </c>
      <c r="CQ18" s="83">
        <v>1</v>
      </c>
      <c r="CR18" s="83"/>
      <c r="CS18" s="83"/>
      <c r="CT18" s="83"/>
      <c r="CU18" s="38">
        <f t="shared" si="68"/>
        <v>2</v>
      </c>
      <c r="CV18" s="48">
        <f t="shared" si="69"/>
        <v>0</v>
      </c>
      <c r="CW18" s="89"/>
      <c r="CX18" s="89"/>
      <c r="CY18" s="48"/>
      <c r="CZ18" s="48"/>
      <c r="DA18" s="89"/>
      <c r="DB18" s="89"/>
      <c r="DC18" s="38" t="e">
        <f t="shared" si="70"/>
        <v>#DIV/0!</v>
      </c>
      <c r="DD18" s="48"/>
      <c r="DE18" s="116"/>
      <c r="DF18" s="116"/>
      <c r="DG18" s="89"/>
      <c r="DH18" s="89"/>
      <c r="DI18" s="48"/>
      <c r="DJ18" s="48">
        <f t="shared" si="71"/>
        <v>0</v>
      </c>
      <c r="DK18" s="16"/>
      <c r="DL18" s="48">
        <f t="shared" si="72"/>
        <v>0</v>
      </c>
      <c r="DM18" s="16"/>
      <c r="DN18" s="48">
        <f t="shared" si="73"/>
        <v>0</v>
      </c>
      <c r="DO18" s="48"/>
      <c r="DP18" s="48"/>
      <c r="DQ18" s="48"/>
      <c r="DR18" s="48"/>
      <c r="DS18" s="48"/>
      <c r="DT18" s="48"/>
      <c r="DU18" s="16" t="s">
        <v>211</v>
      </c>
      <c r="DV18" s="48">
        <f t="shared" si="74"/>
        <v>0.5</v>
      </c>
      <c r="DW18" s="16" t="s">
        <v>212</v>
      </c>
      <c r="DX18" s="48">
        <f t="shared" si="75"/>
        <v>0.5</v>
      </c>
      <c r="DY18" s="16" t="s">
        <v>213</v>
      </c>
      <c r="DZ18" s="48">
        <f t="shared" si="76"/>
        <v>0.5</v>
      </c>
      <c r="EA18" s="16"/>
      <c r="EB18" s="48">
        <f t="shared" si="77"/>
        <v>0</v>
      </c>
      <c r="EC18" s="16"/>
      <c r="ED18" s="48">
        <f t="shared" si="78"/>
        <v>0</v>
      </c>
      <c r="EE18" s="48"/>
      <c r="EF18" s="48"/>
      <c r="EG18" s="73" t="e">
        <f t="shared" si="79"/>
        <v>#DIV/0!</v>
      </c>
    </row>
    <row r="19" spans="1:137" ht="15" hidden="1" x14ac:dyDescent="0.25">
      <c r="A19" s="1" t="s">
        <v>4</v>
      </c>
      <c r="B19" s="13">
        <v>400.4</v>
      </c>
      <c r="C19" s="27">
        <v>46954.9</v>
      </c>
      <c r="D19" s="13">
        <v>34743.9</v>
      </c>
      <c r="E19" s="28"/>
      <c r="F19" s="28"/>
      <c r="G19" s="53">
        <f t="shared" si="47"/>
        <v>3.2790107280321022E-2</v>
      </c>
      <c r="H19" s="38" t="s">
        <v>74</v>
      </c>
      <c r="I19" s="69">
        <f>IF(G19&lt;=0.1,1,0)</f>
        <v>1</v>
      </c>
      <c r="J19" s="13">
        <v>2100</v>
      </c>
      <c r="K19" s="14">
        <v>208485.9</v>
      </c>
      <c r="L19" s="70">
        <v>155158</v>
      </c>
      <c r="M19" s="29"/>
      <c r="N19" s="54">
        <f t="shared" si="48"/>
        <v>3.9379011736820693E-2</v>
      </c>
      <c r="O19" s="38" t="s">
        <v>77</v>
      </c>
      <c r="P19" s="48">
        <f>IF(N19&lt;=1,1,0)</f>
        <v>1</v>
      </c>
      <c r="Q19" s="13">
        <v>2100</v>
      </c>
      <c r="R19" s="31">
        <v>7000</v>
      </c>
      <c r="S19" s="56">
        <f t="shared" ref="S19:S27" si="80">Q19/R19</f>
        <v>0.3</v>
      </c>
      <c r="T19" s="38" t="s">
        <v>77</v>
      </c>
      <c r="U19" s="48">
        <f t="shared" si="49"/>
        <v>1</v>
      </c>
      <c r="V19" s="16">
        <v>16373</v>
      </c>
      <c r="W19" s="16">
        <v>17115</v>
      </c>
      <c r="X19" s="56">
        <f t="shared" si="50"/>
        <v>0.95664621676891615</v>
      </c>
      <c r="Y19" s="38" t="s">
        <v>77</v>
      </c>
      <c r="Z19" s="48">
        <f t="shared" si="51"/>
        <v>1</v>
      </c>
      <c r="AA19" s="94"/>
      <c r="AB19" s="94"/>
      <c r="AC19" s="63" t="e">
        <f t="shared" si="52"/>
        <v>#DIV/0!</v>
      </c>
      <c r="AD19" s="38" t="s">
        <v>77</v>
      </c>
      <c r="AE19" s="48" t="e">
        <f t="shared" si="53"/>
        <v>#DIV/0!</v>
      </c>
      <c r="AF19" s="48"/>
      <c r="AG19" s="48"/>
      <c r="AH19" s="48"/>
      <c r="AI19" s="48"/>
      <c r="AJ19" s="48"/>
      <c r="AK19" s="16"/>
      <c r="AL19" s="16"/>
      <c r="AM19" s="64">
        <v>0</v>
      </c>
      <c r="AN19" s="38" t="s">
        <v>86</v>
      </c>
      <c r="AO19" s="48">
        <f t="shared" si="54"/>
        <v>1</v>
      </c>
      <c r="AP19" s="83">
        <v>54.3</v>
      </c>
      <c r="AQ19" s="84">
        <v>23502</v>
      </c>
      <c r="AR19" s="57">
        <f t="shared" si="55"/>
        <v>2.3104416645391879E-3</v>
      </c>
      <c r="AS19" s="48">
        <f t="shared" si="56"/>
        <v>-1</v>
      </c>
      <c r="AT19" s="16"/>
      <c r="AU19" s="16">
        <v>44</v>
      </c>
      <c r="AV19" s="56">
        <f t="shared" si="57"/>
        <v>0</v>
      </c>
      <c r="AW19" s="48">
        <f t="shared" si="58"/>
        <v>-1</v>
      </c>
      <c r="AX19" s="83">
        <v>53327.9</v>
      </c>
      <c r="AY19" s="83">
        <v>54132.9</v>
      </c>
      <c r="AZ19" s="56">
        <f t="shared" si="59"/>
        <v>0.98512919130510279</v>
      </c>
      <c r="BA19" s="48">
        <f t="shared" si="60"/>
        <v>1</v>
      </c>
      <c r="BB19" s="48"/>
      <c r="BC19" s="48"/>
      <c r="BD19" s="48"/>
      <c r="BE19" s="48"/>
      <c r="BF19" s="48"/>
      <c r="BG19" s="48"/>
      <c r="BH19" s="96">
        <v>53327.9</v>
      </c>
      <c r="BI19" s="96">
        <v>75182</v>
      </c>
      <c r="BJ19" s="96">
        <v>52156.9</v>
      </c>
      <c r="BK19" s="96">
        <v>53944</v>
      </c>
      <c r="BL19" s="56">
        <f t="shared" si="61"/>
        <v>0.73362138615239147</v>
      </c>
      <c r="BM19" s="48">
        <f t="shared" si="62"/>
        <v>0</v>
      </c>
      <c r="BN19" s="16"/>
      <c r="BO19" s="16"/>
      <c r="BP19" s="30"/>
      <c r="BQ19" s="29"/>
      <c r="BR19" s="66">
        <v>0</v>
      </c>
      <c r="BS19" s="48">
        <f t="shared" si="63"/>
        <v>0</v>
      </c>
      <c r="BT19" s="48"/>
      <c r="BU19" s="48"/>
      <c r="BV19" s="16"/>
      <c r="BW19" s="48">
        <f t="shared" si="64"/>
        <v>0</v>
      </c>
      <c r="BX19" s="16"/>
      <c r="BY19" s="16"/>
      <c r="BZ19" s="16"/>
      <c r="CA19" s="29"/>
      <c r="CB19" s="29" t="e">
        <f t="shared" si="65"/>
        <v>#DIV/0!</v>
      </c>
      <c r="CC19" s="29" t="e">
        <f t="shared" si="66"/>
        <v>#DIV/0!</v>
      </c>
      <c r="CD19" s="29"/>
      <c r="CE19" s="84"/>
      <c r="CF19" s="97"/>
      <c r="CG19" s="97"/>
      <c r="CH19" s="29"/>
      <c r="CI19" s="29"/>
      <c r="CJ19" s="19">
        <v>2100</v>
      </c>
      <c r="CK19" s="94">
        <v>12211</v>
      </c>
      <c r="CL19" s="56" t="s">
        <v>222</v>
      </c>
      <c r="CM19" s="80">
        <f t="shared" si="37"/>
        <v>0</v>
      </c>
      <c r="CN19" s="44">
        <v>1</v>
      </c>
      <c r="CO19" s="48">
        <f t="shared" si="67"/>
        <v>-1</v>
      </c>
      <c r="CP19" s="83">
        <v>1</v>
      </c>
      <c r="CQ19" s="83">
        <v>1</v>
      </c>
      <c r="CR19" s="83">
        <v>1</v>
      </c>
      <c r="CS19" s="83"/>
      <c r="CT19" s="83"/>
      <c r="CU19" s="38">
        <f t="shared" si="68"/>
        <v>3</v>
      </c>
      <c r="CV19" s="48">
        <f t="shared" si="69"/>
        <v>0</v>
      </c>
      <c r="CW19" s="89"/>
      <c r="CX19" s="89"/>
      <c r="CY19" s="48"/>
      <c r="CZ19" s="48"/>
      <c r="DA19" s="89"/>
      <c r="DB19" s="89"/>
      <c r="DC19" s="38" t="e">
        <f t="shared" si="70"/>
        <v>#DIV/0!</v>
      </c>
      <c r="DD19" s="48"/>
      <c r="DE19" s="116"/>
      <c r="DF19" s="116"/>
      <c r="DG19" s="89"/>
      <c r="DH19" s="89"/>
      <c r="DI19" s="48"/>
      <c r="DJ19" s="48">
        <f t="shared" si="71"/>
        <v>0</v>
      </c>
      <c r="DK19" s="16" t="s">
        <v>179</v>
      </c>
      <c r="DL19" s="48">
        <f t="shared" si="72"/>
        <v>1</v>
      </c>
      <c r="DM19" s="16" t="s">
        <v>180</v>
      </c>
      <c r="DN19" s="48">
        <f t="shared" si="73"/>
        <v>0.5</v>
      </c>
      <c r="DO19" s="48"/>
      <c r="DP19" s="48"/>
      <c r="DQ19" s="48"/>
      <c r="DR19" s="48"/>
      <c r="DS19" s="48"/>
      <c r="DT19" s="48"/>
      <c r="DU19" s="16" t="s">
        <v>181</v>
      </c>
      <c r="DV19" s="48">
        <f t="shared" si="74"/>
        <v>0.5</v>
      </c>
      <c r="DW19" s="16" t="s">
        <v>182</v>
      </c>
      <c r="DX19" s="48">
        <f t="shared" si="75"/>
        <v>0.5</v>
      </c>
      <c r="DY19" s="16" t="s">
        <v>183</v>
      </c>
      <c r="DZ19" s="48">
        <f t="shared" si="76"/>
        <v>0.5</v>
      </c>
      <c r="EA19" s="16" t="s">
        <v>184</v>
      </c>
      <c r="EB19" s="48">
        <f t="shared" si="77"/>
        <v>0.5</v>
      </c>
      <c r="EC19" s="16"/>
      <c r="ED19" s="48">
        <f t="shared" si="78"/>
        <v>0</v>
      </c>
      <c r="EE19" s="48"/>
      <c r="EF19" s="48"/>
      <c r="EG19" s="73" t="e">
        <f t="shared" si="79"/>
        <v>#DIV/0!</v>
      </c>
    </row>
    <row r="20" spans="1:137" ht="15" hidden="1" x14ac:dyDescent="0.25">
      <c r="A20" s="1" t="s">
        <v>5</v>
      </c>
      <c r="B20" s="13"/>
      <c r="C20" s="27">
        <v>70842</v>
      </c>
      <c r="D20" s="13">
        <v>57668.1</v>
      </c>
      <c r="E20" s="28"/>
      <c r="F20" s="28"/>
      <c r="G20" s="53">
        <f t="shared" si="47"/>
        <v>0</v>
      </c>
      <c r="H20" s="38" t="s">
        <v>73</v>
      </c>
      <c r="I20" s="69">
        <f>IF(G20&lt;=0.05,1,0)</f>
        <v>1</v>
      </c>
      <c r="J20" s="13"/>
      <c r="K20" s="14">
        <v>336531.6</v>
      </c>
      <c r="L20" s="70">
        <v>283748</v>
      </c>
      <c r="M20" s="29"/>
      <c r="N20" s="54">
        <f t="shared" si="48"/>
        <v>0</v>
      </c>
      <c r="O20" s="38" t="s">
        <v>76</v>
      </c>
      <c r="P20" s="48">
        <f>IF(N20&lt;=0.5,1,0)</f>
        <v>1</v>
      </c>
      <c r="Q20" s="13"/>
      <c r="R20" s="31">
        <v>1128</v>
      </c>
      <c r="S20" s="56">
        <f t="shared" si="80"/>
        <v>0</v>
      </c>
      <c r="T20" s="38" t="s">
        <v>77</v>
      </c>
      <c r="U20" s="48">
        <f t="shared" si="49"/>
        <v>1</v>
      </c>
      <c r="V20" s="16">
        <v>13215.6</v>
      </c>
      <c r="W20" s="16">
        <v>16755</v>
      </c>
      <c r="X20" s="56">
        <f t="shared" si="50"/>
        <v>0.78875559534467321</v>
      </c>
      <c r="Y20" s="38" t="s">
        <v>77</v>
      </c>
      <c r="Z20" s="48">
        <f t="shared" si="51"/>
        <v>1</v>
      </c>
      <c r="AA20" s="94"/>
      <c r="AB20" s="94"/>
      <c r="AC20" s="63" t="e">
        <f t="shared" si="52"/>
        <v>#DIV/0!</v>
      </c>
      <c r="AD20" s="38" t="s">
        <v>77</v>
      </c>
      <c r="AE20" s="48" t="e">
        <f t="shared" si="53"/>
        <v>#DIV/0!</v>
      </c>
      <c r="AF20" s="48"/>
      <c r="AG20" s="48"/>
      <c r="AH20" s="48"/>
      <c r="AI20" s="48"/>
      <c r="AJ20" s="48"/>
      <c r="AK20" s="16"/>
      <c r="AL20" s="16"/>
      <c r="AM20" s="64">
        <v>0</v>
      </c>
      <c r="AN20" s="38" t="s">
        <v>86</v>
      </c>
      <c r="AO20" s="48">
        <f t="shared" si="54"/>
        <v>1</v>
      </c>
      <c r="AP20" s="83">
        <v>10</v>
      </c>
      <c r="AQ20" s="84">
        <v>33966.300000000003</v>
      </c>
      <c r="AR20" s="57">
        <f t="shared" si="55"/>
        <v>2.944094587870919E-4</v>
      </c>
      <c r="AS20" s="48">
        <f t="shared" si="56"/>
        <v>-1</v>
      </c>
      <c r="AT20" s="16"/>
      <c r="AU20" s="16">
        <v>108</v>
      </c>
      <c r="AV20" s="56">
        <f t="shared" si="57"/>
        <v>0</v>
      </c>
      <c r="AW20" s="48">
        <f t="shared" si="58"/>
        <v>-1</v>
      </c>
      <c r="AX20" s="83">
        <v>52783.6</v>
      </c>
      <c r="AY20" s="83">
        <v>52521.599999999999</v>
      </c>
      <c r="AZ20" s="56">
        <f t="shared" si="59"/>
        <v>1.0049884238103941</v>
      </c>
      <c r="BA20" s="48">
        <f t="shared" si="60"/>
        <v>1</v>
      </c>
      <c r="BB20" s="48"/>
      <c r="BC20" s="48"/>
      <c r="BD20" s="48"/>
      <c r="BE20" s="48"/>
      <c r="BF20" s="48"/>
      <c r="BG20" s="48"/>
      <c r="BH20" s="96">
        <v>52783.6</v>
      </c>
      <c r="BI20" s="96">
        <v>62023</v>
      </c>
      <c r="BJ20" s="96">
        <v>50374.1</v>
      </c>
      <c r="BK20" s="96">
        <v>53838</v>
      </c>
      <c r="BL20" s="56">
        <f t="shared" si="61"/>
        <v>0.90955267692205677</v>
      </c>
      <c r="BM20" s="48">
        <f t="shared" si="62"/>
        <v>0</v>
      </c>
      <c r="BN20" s="16"/>
      <c r="BO20" s="16"/>
      <c r="BP20" s="30"/>
      <c r="BQ20" s="29"/>
      <c r="BR20" s="66">
        <v>0</v>
      </c>
      <c r="BS20" s="48">
        <f t="shared" si="63"/>
        <v>0</v>
      </c>
      <c r="BT20" s="48"/>
      <c r="BU20" s="48"/>
      <c r="BV20" s="16"/>
      <c r="BW20" s="48">
        <f t="shared" si="64"/>
        <v>0</v>
      </c>
      <c r="BX20" s="16"/>
      <c r="BY20" s="16"/>
      <c r="BZ20" s="16"/>
      <c r="CA20" s="29"/>
      <c r="CB20" s="29" t="e">
        <f t="shared" si="65"/>
        <v>#DIV/0!</v>
      </c>
      <c r="CC20" s="29" t="e">
        <f t="shared" si="66"/>
        <v>#DIV/0!</v>
      </c>
      <c r="CD20" s="29"/>
      <c r="CE20" s="84"/>
      <c r="CF20" s="97"/>
      <c r="CG20" s="97"/>
      <c r="CH20" s="29"/>
      <c r="CI20" s="29"/>
      <c r="CJ20" s="19"/>
      <c r="CK20" s="94">
        <v>13173.9</v>
      </c>
      <c r="CL20" s="56">
        <v>0</v>
      </c>
      <c r="CM20" s="80">
        <f t="shared" si="37"/>
        <v>1</v>
      </c>
      <c r="CN20" s="44"/>
      <c r="CO20" s="48">
        <f t="shared" si="67"/>
        <v>0</v>
      </c>
      <c r="CP20" s="83">
        <v>1</v>
      </c>
      <c r="CQ20" s="83">
        <v>1</v>
      </c>
      <c r="CR20" s="83">
        <v>1</v>
      </c>
      <c r="CS20" s="83">
        <v>1</v>
      </c>
      <c r="CT20" s="83">
        <v>1</v>
      </c>
      <c r="CU20" s="38">
        <f t="shared" si="68"/>
        <v>5</v>
      </c>
      <c r="CV20" s="48">
        <f t="shared" si="69"/>
        <v>1</v>
      </c>
      <c r="CW20" s="89"/>
      <c r="CX20" s="89"/>
      <c r="CY20" s="48"/>
      <c r="CZ20" s="48"/>
      <c r="DA20" s="89"/>
      <c r="DB20" s="89"/>
      <c r="DC20" s="38" t="e">
        <f t="shared" si="70"/>
        <v>#DIV/0!</v>
      </c>
      <c r="DD20" s="48"/>
      <c r="DE20" s="116"/>
      <c r="DF20" s="116"/>
      <c r="DG20" s="89"/>
      <c r="DH20" s="89"/>
      <c r="DI20" s="48"/>
      <c r="DJ20" s="48">
        <f t="shared" si="71"/>
        <v>0</v>
      </c>
      <c r="DK20" s="16" t="s">
        <v>167</v>
      </c>
      <c r="DL20" s="48">
        <f t="shared" si="72"/>
        <v>1</v>
      </c>
      <c r="DM20" s="16"/>
      <c r="DN20" s="48">
        <f t="shared" si="73"/>
        <v>0</v>
      </c>
      <c r="DO20" s="48"/>
      <c r="DP20" s="48"/>
      <c r="DQ20" s="48"/>
      <c r="DR20" s="48"/>
      <c r="DS20" s="48"/>
      <c r="DT20" s="48"/>
      <c r="DU20" s="16" t="s">
        <v>168</v>
      </c>
      <c r="DV20" s="48">
        <f t="shared" si="74"/>
        <v>0.5</v>
      </c>
      <c r="DW20" s="16" t="s">
        <v>168</v>
      </c>
      <c r="DX20" s="48">
        <f t="shared" si="75"/>
        <v>0.5</v>
      </c>
      <c r="DY20" s="16" t="s">
        <v>169</v>
      </c>
      <c r="DZ20" s="48">
        <f t="shared" si="76"/>
        <v>0.5</v>
      </c>
      <c r="EA20" s="16"/>
      <c r="EB20" s="48">
        <f t="shared" si="77"/>
        <v>0</v>
      </c>
      <c r="EC20" s="16"/>
      <c r="ED20" s="48">
        <f t="shared" si="78"/>
        <v>0</v>
      </c>
      <c r="EE20" s="48"/>
      <c r="EF20" s="48"/>
      <c r="EG20" s="73" t="e">
        <f t="shared" si="79"/>
        <v>#DIV/0!</v>
      </c>
    </row>
    <row r="21" spans="1:137" ht="15" hidden="1" x14ac:dyDescent="0.25">
      <c r="A21" s="1" t="s">
        <v>6</v>
      </c>
      <c r="B21" s="13"/>
      <c r="C21" s="27">
        <v>33163.4</v>
      </c>
      <c r="D21" s="13">
        <v>22328.9</v>
      </c>
      <c r="E21" s="28"/>
      <c r="F21" s="28"/>
      <c r="G21" s="53">
        <f t="shared" si="47"/>
        <v>0</v>
      </c>
      <c r="H21" s="38" t="s">
        <v>74</v>
      </c>
      <c r="I21" s="69">
        <f>IF(G21&lt;=0.1,1,0)</f>
        <v>1</v>
      </c>
      <c r="J21" s="13">
        <v>1077</v>
      </c>
      <c r="K21" s="14">
        <v>149443.6</v>
      </c>
      <c r="L21" s="70">
        <v>103415.5</v>
      </c>
      <c r="M21" s="29"/>
      <c r="N21" s="54">
        <f t="shared" si="48"/>
        <v>2.3398749894086437E-2</v>
      </c>
      <c r="O21" s="38" t="s">
        <v>77</v>
      </c>
      <c r="P21" s="48">
        <f>IF(N21&lt;=1,1,0)</f>
        <v>1</v>
      </c>
      <c r="Q21" s="13">
        <v>1077</v>
      </c>
      <c r="R21" s="31">
        <v>3000</v>
      </c>
      <c r="S21" s="56">
        <f t="shared" si="80"/>
        <v>0.35899999999999999</v>
      </c>
      <c r="T21" s="38" t="s">
        <v>77</v>
      </c>
      <c r="U21" s="48">
        <f t="shared" si="49"/>
        <v>1</v>
      </c>
      <c r="V21" s="16">
        <v>11860</v>
      </c>
      <c r="W21" s="16">
        <v>15663</v>
      </c>
      <c r="X21" s="56">
        <f t="shared" si="50"/>
        <v>0.75719849326438105</v>
      </c>
      <c r="Y21" s="38" t="s">
        <v>77</v>
      </c>
      <c r="Z21" s="48">
        <f t="shared" si="51"/>
        <v>1</v>
      </c>
      <c r="AA21" s="94"/>
      <c r="AB21" s="94"/>
      <c r="AC21" s="63" t="e">
        <f t="shared" si="52"/>
        <v>#DIV/0!</v>
      </c>
      <c r="AD21" s="38" t="s">
        <v>77</v>
      </c>
      <c r="AE21" s="48" t="e">
        <f t="shared" si="53"/>
        <v>#DIV/0!</v>
      </c>
      <c r="AF21" s="48"/>
      <c r="AG21" s="48"/>
      <c r="AH21" s="48"/>
      <c r="AI21" s="48"/>
      <c r="AJ21" s="48"/>
      <c r="AK21" s="16"/>
      <c r="AL21" s="16"/>
      <c r="AM21" s="64">
        <v>0</v>
      </c>
      <c r="AN21" s="38" t="s">
        <v>86</v>
      </c>
      <c r="AO21" s="48">
        <f t="shared" si="54"/>
        <v>1</v>
      </c>
      <c r="AP21" s="83">
        <v>13.1</v>
      </c>
      <c r="AQ21" s="84">
        <v>16448.400000000001</v>
      </c>
      <c r="AR21" s="57">
        <f t="shared" si="55"/>
        <v>7.9643004790739516E-4</v>
      </c>
      <c r="AS21" s="48">
        <f t="shared" si="56"/>
        <v>-1</v>
      </c>
      <c r="AT21" s="16"/>
      <c r="AU21" s="16">
        <v>22</v>
      </c>
      <c r="AV21" s="56">
        <f t="shared" si="57"/>
        <v>0</v>
      </c>
      <c r="AW21" s="48">
        <f t="shared" si="58"/>
        <v>-1</v>
      </c>
      <c r="AX21" s="83">
        <v>46028.1</v>
      </c>
      <c r="AY21" s="83">
        <v>46028.07</v>
      </c>
      <c r="AZ21" s="56">
        <f t="shared" si="59"/>
        <v>1.0000006517761879</v>
      </c>
      <c r="BA21" s="48">
        <f t="shared" si="60"/>
        <v>1</v>
      </c>
      <c r="BB21" s="48"/>
      <c r="BC21" s="48"/>
      <c r="BD21" s="48"/>
      <c r="BE21" s="48"/>
      <c r="BF21" s="48"/>
      <c r="BG21" s="48"/>
      <c r="BH21" s="96">
        <v>46028.1</v>
      </c>
      <c r="BI21" s="96">
        <v>34470</v>
      </c>
      <c r="BJ21" s="96">
        <v>46628.3</v>
      </c>
      <c r="BK21" s="96">
        <v>25028</v>
      </c>
      <c r="BL21" s="56">
        <f t="shared" si="61"/>
        <v>0.71673453158105271</v>
      </c>
      <c r="BM21" s="48">
        <f t="shared" si="62"/>
        <v>0</v>
      </c>
      <c r="BN21" s="16"/>
      <c r="BO21" s="16"/>
      <c r="BP21" s="30"/>
      <c r="BQ21" s="29"/>
      <c r="BR21" s="66">
        <v>0</v>
      </c>
      <c r="BS21" s="48">
        <f t="shared" si="63"/>
        <v>0</v>
      </c>
      <c r="BT21" s="48"/>
      <c r="BU21" s="48"/>
      <c r="BV21" s="16"/>
      <c r="BW21" s="48">
        <f t="shared" si="64"/>
        <v>0</v>
      </c>
      <c r="BX21" s="16"/>
      <c r="BY21" s="16"/>
      <c r="BZ21" s="16"/>
      <c r="CA21" s="29"/>
      <c r="CB21" s="29" t="e">
        <f t="shared" si="65"/>
        <v>#DIV/0!</v>
      </c>
      <c r="CC21" s="29" t="e">
        <f t="shared" si="66"/>
        <v>#DIV/0!</v>
      </c>
      <c r="CD21" s="29"/>
      <c r="CE21" s="84"/>
      <c r="CF21" s="97"/>
      <c r="CG21" s="97"/>
      <c r="CH21" s="29"/>
      <c r="CI21" s="29"/>
      <c r="CJ21" s="19">
        <v>1077</v>
      </c>
      <c r="CK21" s="94">
        <v>10834.4</v>
      </c>
      <c r="CL21" s="56" t="e">
        <f>(CJ21/CK21)/(#REF!/#REF!)</f>
        <v>#REF!</v>
      </c>
      <c r="CM21" s="80" t="e">
        <f t="shared" si="37"/>
        <v>#REF!</v>
      </c>
      <c r="CN21" s="44"/>
      <c r="CO21" s="48">
        <f t="shared" si="67"/>
        <v>0</v>
      </c>
      <c r="CP21" s="83">
        <v>1</v>
      </c>
      <c r="CQ21" s="83">
        <v>1</v>
      </c>
      <c r="CR21" s="83"/>
      <c r="CS21" s="83">
        <v>1</v>
      </c>
      <c r="CT21" s="83">
        <v>1</v>
      </c>
      <c r="CU21" s="38">
        <f t="shared" si="68"/>
        <v>4</v>
      </c>
      <c r="CV21" s="48">
        <f t="shared" si="69"/>
        <v>0</v>
      </c>
      <c r="CW21" s="89"/>
      <c r="CX21" s="89"/>
      <c r="CY21" s="48"/>
      <c r="CZ21" s="48"/>
      <c r="DA21" s="89"/>
      <c r="DB21" s="89"/>
      <c r="DC21" s="38" t="e">
        <f t="shared" si="70"/>
        <v>#DIV/0!</v>
      </c>
      <c r="DD21" s="48"/>
      <c r="DE21" s="116"/>
      <c r="DF21" s="116"/>
      <c r="DG21" s="89"/>
      <c r="DH21" s="89"/>
      <c r="DI21" s="48"/>
      <c r="DJ21" s="48">
        <f t="shared" si="71"/>
        <v>0</v>
      </c>
      <c r="DK21" s="16"/>
      <c r="DL21" s="48">
        <f t="shared" si="72"/>
        <v>0</v>
      </c>
      <c r="DM21" s="16" t="s">
        <v>175</v>
      </c>
      <c r="DN21" s="48">
        <f t="shared" si="73"/>
        <v>0.5</v>
      </c>
      <c r="DO21" s="48"/>
      <c r="DP21" s="48"/>
      <c r="DQ21" s="48"/>
      <c r="DR21" s="48"/>
      <c r="DS21" s="48"/>
      <c r="DT21" s="48"/>
      <c r="DU21" s="16" t="s">
        <v>176</v>
      </c>
      <c r="DV21" s="48">
        <f t="shared" si="74"/>
        <v>0.5</v>
      </c>
      <c r="DW21" s="16" t="s">
        <v>177</v>
      </c>
      <c r="DX21" s="48">
        <f t="shared" si="75"/>
        <v>0.5</v>
      </c>
      <c r="DY21" s="16" t="s">
        <v>178</v>
      </c>
      <c r="DZ21" s="48">
        <f t="shared" si="76"/>
        <v>0.5</v>
      </c>
      <c r="EA21" s="16"/>
      <c r="EB21" s="48">
        <f t="shared" si="77"/>
        <v>0</v>
      </c>
      <c r="EC21" s="16"/>
      <c r="ED21" s="48">
        <f t="shared" si="78"/>
        <v>0</v>
      </c>
      <c r="EE21" s="48"/>
      <c r="EF21" s="48"/>
      <c r="EG21" s="73" t="e">
        <f t="shared" si="79"/>
        <v>#DIV/0!</v>
      </c>
    </row>
    <row r="22" spans="1:137" ht="15" hidden="1" x14ac:dyDescent="0.25">
      <c r="A22" s="1" t="s">
        <v>7</v>
      </c>
      <c r="B22" s="13"/>
      <c r="C22" s="27">
        <v>33999.599999999999</v>
      </c>
      <c r="D22" s="13">
        <v>27199.1</v>
      </c>
      <c r="E22" s="28"/>
      <c r="F22" s="28"/>
      <c r="G22" s="53">
        <f t="shared" si="47"/>
        <v>0</v>
      </c>
      <c r="H22" s="38" t="s">
        <v>74</v>
      </c>
      <c r="I22" s="69">
        <f>IF(G22&lt;=0.1,1,0)</f>
        <v>1</v>
      </c>
      <c r="J22" s="13">
        <v>2757.1</v>
      </c>
      <c r="K22" s="14">
        <v>176131.6</v>
      </c>
      <c r="L22" s="70">
        <v>151238.20000000001</v>
      </c>
      <c r="M22" s="29"/>
      <c r="N22" s="54">
        <f t="shared" si="48"/>
        <v>0.11075626471273513</v>
      </c>
      <c r="O22" s="38" t="s">
        <v>77</v>
      </c>
      <c r="P22" s="48">
        <f>IF(N22&lt;=1,1,0)</f>
        <v>1</v>
      </c>
      <c r="Q22" s="13">
        <v>2757.1</v>
      </c>
      <c r="R22" s="31">
        <v>2800.1</v>
      </c>
      <c r="S22" s="57">
        <f t="shared" si="80"/>
        <v>0.98464340559265739</v>
      </c>
      <c r="T22" s="38" t="s">
        <v>77</v>
      </c>
      <c r="U22" s="48">
        <f t="shared" si="49"/>
        <v>1</v>
      </c>
      <c r="V22" s="16">
        <v>14379.3</v>
      </c>
      <c r="W22" s="16">
        <v>16466</v>
      </c>
      <c r="X22" s="56">
        <f t="shared" si="50"/>
        <v>0.87327219725494953</v>
      </c>
      <c r="Y22" s="38" t="s">
        <v>77</v>
      </c>
      <c r="Z22" s="48">
        <f t="shared" si="51"/>
        <v>1</v>
      </c>
      <c r="AA22" s="94"/>
      <c r="AB22" s="94"/>
      <c r="AC22" s="63" t="e">
        <f t="shared" si="52"/>
        <v>#DIV/0!</v>
      </c>
      <c r="AD22" s="38" t="s">
        <v>77</v>
      </c>
      <c r="AE22" s="48" t="e">
        <f t="shared" si="53"/>
        <v>#DIV/0!</v>
      </c>
      <c r="AF22" s="48"/>
      <c r="AG22" s="48"/>
      <c r="AH22" s="48"/>
      <c r="AI22" s="48"/>
      <c r="AJ22" s="48"/>
      <c r="AK22" s="16"/>
      <c r="AL22" s="16"/>
      <c r="AM22" s="64">
        <v>0</v>
      </c>
      <c r="AN22" s="38" t="s">
        <v>86</v>
      </c>
      <c r="AO22" s="48">
        <f t="shared" si="54"/>
        <v>1</v>
      </c>
      <c r="AP22" s="83">
        <v>35.4</v>
      </c>
      <c r="AQ22" s="84">
        <v>10943.2</v>
      </c>
      <c r="AR22" s="57">
        <f t="shared" si="55"/>
        <v>3.2348855910519772E-3</v>
      </c>
      <c r="AS22" s="48">
        <f t="shared" si="56"/>
        <v>-1</v>
      </c>
      <c r="AT22" s="16"/>
      <c r="AU22" s="16">
        <v>27</v>
      </c>
      <c r="AV22" s="56">
        <f t="shared" si="57"/>
        <v>0</v>
      </c>
      <c r="AW22" s="48">
        <f t="shared" si="58"/>
        <v>-1</v>
      </c>
      <c r="AX22" s="83">
        <v>24893.4</v>
      </c>
      <c r="AY22" s="83">
        <v>24898.3</v>
      </c>
      <c r="AZ22" s="56">
        <f t="shared" si="59"/>
        <v>0.99980319941522122</v>
      </c>
      <c r="BA22" s="48">
        <f t="shared" si="60"/>
        <v>1</v>
      </c>
      <c r="BB22" s="48"/>
      <c r="BC22" s="48"/>
      <c r="BD22" s="48"/>
      <c r="BE22" s="48"/>
      <c r="BF22" s="48"/>
      <c r="BG22" s="48"/>
      <c r="BH22" s="96">
        <v>24893.4</v>
      </c>
      <c r="BI22" s="96">
        <v>57774</v>
      </c>
      <c r="BJ22" s="96">
        <v>25782.1</v>
      </c>
      <c r="BK22" s="96">
        <v>47834</v>
      </c>
      <c r="BL22" s="56">
        <f t="shared" si="61"/>
        <v>0.79941113119647067</v>
      </c>
      <c r="BM22" s="48">
        <f t="shared" si="62"/>
        <v>0</v>
      </c>
      <c r="BN22" s="16"/>
      <c r="BO22" s="16"/>
      <c r="BP22" s="30"/>
      <c r="BQ22" s="29"/>
      <c r="BR22" s="66">
        <v>0</v>
      </c>
      <c r="BS22" s="48">
        <f t="shared" si="63"/>
        <v>0</v>
      </c>
      <c r="BT22" s="48"/>
      <c r="BU22" s="48"/>
      <c r="BV22" s="16"/>
      <c r="BW22" s="48">
        <f t="shared" si="64"/>
        <v>0</v>
      </c>
      <c r="BX22" s="16"/>
      <c r="BY22" s="16"/>
      <c r="BZ22" s="16"/>
      <c r="CA22" s="29"/>
      <c r="CB22" s="29" t="e">
        <f t="shared" si="65"/>
        <v>#DIV/0!</v>
      </c>
      <c r="CC22" s="29" t="e">
        <f t="shared" si="66"/>
        <v>#DIV/0!</v>
      </c>
      <c r="CD22" s="29"/>
      <c r="CE22" s="84"/>
      <c r="CF22" s="97"/>
      <c r="CG22" s="97"/>
      <c r="CH22" s="29"/>
      <c r="CI22" s="29"/>
      <c r="CJ22" s="19">
        <v>2757.1</v>
      </c>
      <c r="CK22" s="94">
        <v>6800.4</v>
      </c>
      <c r="CL22" s="56" t="e">
        <f>(CJ22/CK22)/(#REF!/#REF!)</f>
        <v>#REF!</v>
      </c>
      <c r="CM22" s="80" t="e">
        <f t="shared" si="37"/>
        <v>#REF!</v>
      </c>
      <c r="CN22" s="44"/>
      <c r="CO22" s="48">
        <f t="shared" si="67"/>
        <v>0</v>
      </c>
      <c r="CP22" s="83">
        <v>1</v>
      </c>
      <c r="CQ22" s="83">
        <v>1</v>
      </c>
      <c r="CR22" s="83"/>
      <c r="CS22" s="83"/>
      <c r="CT22" s="83"/>
      <c r="CU22" s="38">
        <f t="shared" si="68"/>
        <v>2</v>
      </c>
      <c r="CV22" s="48">
        <f t="shared" si="69"/>
        <v>0</v>
      </c>
      <c r="CW22" s="89"/>
      <c r="CX22" s="89"/>
      <c r="CY22" s="48"/>
      <c r="CZ22" s="48"/>
      <c r="DA22" s="89"/>
      <c r="DB22" s="89"/>
      <c r="DC22" s="38" t="e">
        <f t="shared" si="70"/>
        <v>#DIV/0!</v>
      </c>
      <c r="DD22" s="48"/>
      <c r="DE22" s="116"/>
      <c r="DF22" s="116"/>
      <c r="DG22" s="89"/>
      <c r="DH22" s="89"/>
      <c r="DI22" s="48"/>
      <c r="DJ22" s="48">
        <f t="shared" si="71"/>
        <v>0</v>
      </c>
      <c r="DK22" s="16"/>
      <c r="DL22" s="48">
        <f t="shared" si="72"/>
        <v>0</v>
      </c>
      <c r="DM22" s="16"/>
      <c r="DN22" s="48">
        <f t="shared" si="73"/>
        <v>0</v>
      </c>
      <c r="DO22" s="48"/>
      <c r="DP22" s="48"/>
      <c r="DQ22" s="48"/>
      <c r="DR22" s="48"/>
      <c r="DS22" s="48"/>
      <c r="DT22" s="48"/>
      <c r="DU22" s="16" t="s">
        <v>126</v>
      </c>
      <c r="DV22" s="48">
        <f t="shared" si="74"/>
        <v>0.5</v>
      </c>
      <c r="DW22" s="16" t="s">
        <v>127</v>
      </c>
      <c r="DX22" s="48">
        <f t="shared" si="75"/>
        <v>0.5</v>
      </c>
      <c r="DY22" s="16" t="s">
        <v>128</v>
      </c>
      <c r="DZ22" s="48">
        <f t="shared" si="76"/>
        <v>0.5</v>
      </c>
      <c r="EA22" s="16" t="s">
        <v>129</v>
      </c>
      <c r="EB22" s="48">
        <f t="shared" si="77"/>
        <v>0.5</v>
      </c>
      <c r="EC22" s="16"/>
      <c r="ED22" s="48">
        <f t="shared" si="78"/>
        <v>0</v>
      </c>
      <c r="EE22" s="48"/>
      <c r="EF22" s="48"/>
      <c r="EG22" s="73" t="e">
        <f t="shared" si="79"/>
        <v>#DIV/0!</v>
      </c>
    </row>
    <row r="23" spans="1:137" ht="15" hidden="1" x14ac:dyDescent="0.25">
      <c r="A23" s="1" t="s">
        <v>8</v>
      </c>
      <c r="B23" s="13"/>
      <c r="C23" s="27">
        <v>98686.6</v>
      </c>
      <c r="D23" s="13">
        <v>93601.2</v>
      </c>
      <c r="E23" s="28"/>
      <c r="F23" s="28"/>
      <c r="G23" s="53">
        <f t="shared" si="47"/>
        <v>0</v>
      </c>
      <c r="H23" s="38" t="s">
        <v>73</v>
      </c>
      <c r="I23" s="69">
        <f>IF(G23&lt;=0.05,1,0)</f>
        <v>1</v>
      </c>
      <c r="J23" s="13">
        <v>2800</v>
      </c>
      <c r="K23" s="14">
        <v>293137.09999999998</v>
      </c>
      <c r="L23" s="71">
        <v>271624.09999999998</v>
      </c>
      <c r="M23" s="29"/>
      <c r="N23" s="57">
        <f t="shared" si="48"/>
        <v>0.13015386045646818</v>
      </c>
      <c r="O23" s="38" t="s">
        <v>76</v>
      </c>
      <c r="P23" s="48">
        <f>IF(N23&lt;=0.5,1,0)</f>
        <v>1</v>
      </c>
      <c r="Q23" s="13">
        <v>2800</v>
      </c>
      <c r="R23" s="31">
        <v>6033</v>
      </c>
      <c r="S23" s="56">
        <f t="shared" si="80"/>
        <v>0.46411403944969337</v>
      </c>
      <c r="T23" s="38" t="s">
        <v>77</v>
      </c>
      <c r="U23" s="48">
        <f t="shared" si="49"/>
        <v>1</v>
      </c>
      <c r="V23" s="16">
        <v>11039</v>
      </c>
      <c r="W23" s="16">
        <v>14203</v>
      </c>
      <c r="X23" s="56">
        <f t="shared" si="50"/>
        <v>0.77723016264169542</v>
      </c>
      <c r="Y23" s="38" t="s">
        <v>77</v>
      </c>
      <c r="Z23" s="48">
        <f t="shared" si="51"/>
        <v>1</v>
      </c>
      <c r="AA23" s="94"/>
      <c r="AB23" s="94"/>
      <c r="AC23" s="63" t="e">
        <f t="shared" si="52"/>
        <v>#DIV/0!</v>
      </c>
      <c r="AD23" s="38" t="s">
        <v>77</v>
      </c>
      <c r="AE23" s="48" t="e">
        <f t="shared" si="53"/>
        <v>#DIV/0!</v>
      </c>
      <c r="AF23" s="48"/>
      <c r="AG23" s="48"/>
      <c r="AH23" s="48"/>
      <c r="AI23" s="48"/>
      <c r="AJ23" s="48"/>
      <c r="AK23" s="16"/>
      <c r="AL23" s="16"/>
      <c r="AM23" s="64">
        <v>0</v>
      </c>
      <c r="AN23" s="38" t="s">
        <v>86</v>
      </c>
      <c r="AO23" s="48">
        <f t="shared" si="54"/>
        <v>1</v>
      </c>
      <c r="AP23" s="83">
        <v>104.8</v>
      </c>
      <c r="AQ23" s="84">
        <v>10986</v>
      </c>
      <c r="AR23" s="57">
        <f t="shared" si="55"/>
        <v>9.5394137993810302E-3</v>
      </c>
      <c r="AS23" s="48">
        <f t="shared" si="56"/>
        <v>-1</v>
      </c>
      <c r="AT23" s="16"/>
      <c r="AU23" s="16">
        <v>34</v>
      </c>
      <c r="AV23" s="56">
        <f t="shared" si="57"/>
        <v>0</v>
      </c>
      <c r="AW23" s="48">
        <f t="shared" si="58"/>
        <v>-1</v>
      </c>
      <c r="AX23" s="83">
        <v>21513</v>
      </c>
      <c r="AY23" s="83">
        <v>21513</v>
      </c>
      <c r="AZ23" s="56">
        <f t="shared" si="59"/>
        <v>1</v>
      </c>
      <c r="BA23" s="48">
        <f t="shared" si="60"/>
        <v>1</v>
      </c>
      <c r="BB23" s="48"/>
      <c r="BC23" s="48"/>
      <c r="BD23" s="48"/>
      <c r="BE23" s="48"/>
      <c r="BF23" s="48"/>
      <c r="BG23" s="48"/>
      <c r="BH23" s="96">
        <v>21513</v>
      </c>
      <c r="BI23" s="96">
        <v>36769</v>
      </c>
      <c r="BJ23" s="96">
        <v>17460</v>
      </c>
      <c r="BK23" s="96">
        <v>40767</v>
      </c>
      <c r="BL23" s="56">
        <f t="shared" si="61"/>
        <v>1.3661037157870271</v>
      </c>
      <c r="BM23" s="48">
        <f t="shared" si="62"/>
        <v>1</v>
      </c>
      <c r="BN23" s="16"/>
      <c r="BO23" s="16"/>
      <c r="BP23" s="30"/>
      <c r="BQ23" s="29"/>
      <c r="BR23" s="66">
        <v>0</v>
      </c>
      <c r="BS23" s="48">
        <f t="shared" si="63"/>
        <v>0</v>
      </c>
      <c r="BT23" s="48"/>
      <c r="BU23" s="48"/>
      <c r="BV23" s="16">
        <v>349.4</v>
      </c>
      <c r="BW23" s="48">
        <f t="shared" si="64"/>
        <v>-1</v>
      </c>
      <c r="BX23" s="16"/>
      <c r="BY23" s="16"/>
      <c r="BZ23" s="16"/>
      <c r="CA23" s="29"/>
      <c r="CB23" s="29" t="e">
        <f t="shared" si="65"/>
        <v>#DIV/0!</v>
      </c>
      <c r="CC23" s="29" t="e">
        <f t="shared" si="66"/>
        <v>#DIV/0!</v>
      </c>
      <c r="CD23" s="29"/>
      <c r="CE23" s="84"/>
      <c r="CF23" s="97"/>
      <c r="CG23" s="97"/>
      <c r="CH23" s="29"/>
      <c r="CI23" s="29"/>
      <c r="CJ23" s="19">
        <v>2800</v>
      </c>
      <c r="CK23" s="94">
        <v>5084.3999999999996</v>
      </c>
      <c r="CL23" s="56" t="e">
        <f>(CJ23/CK23)/(#REF!/#REF!)</f>
        <v>#REF!</v>
      </c>
      <c r="CM23" s="80" t="e">
        <f t="shared" si="37"/>
        <v>#REF!</v>
      </c>
      <c r="CN23" s="44"/>
      <c r="CO23" s="48">
        <f t="shared" si="67"/>
        <v>0</v>
      </c>
      <c r="CP23" s="83"/>
      <c r="CQ23" s="83">
        <v>1</v>
      </c>
      <c r="CR23" s="83"/>
      <c r="CS23" s="83"/>
      <c r="CT23" s="83"/>
      <c r="CU23" s="38">
        <f t="shared" si="68"/>
        <v>1</v>
      </c>
      <c r="CV23" s="48">
        <f t="shared" si="69"/>
        <v>0</v>
      </c>
      <c r="CW23" s="89"/>
      <c r="CX23" s="89"/>
      <c r="CY23" s="48"/>
      <c r="CZ23" s="48"/>
      <c r="DA23" s="89"/>
      <c r="DB23" s="89"/>
      <c r="DC23" s="38" t="e">
        <f t="shared" si="70"/>
        <v>#DIV/0!</v>
      </c>
      <c r="DD23" s="48"/>
      <c r="DE23" s="116"/>
      <c r="DF23" s="116"/>
      <c r="DG23" s="89"/>
      <c r="DH23" s="89"/>
      <c r="DI23" s="48"/>
      <c r="DJ23" s="48">
        <f t="shared" si="71"/>
        <v>0</v>
      </c>
      <c r="DK23" s="16"/>
      <c r="DL23" s="48">
        <f t="shared" si="72"/>
        <v>0</v>
      </c>
      <c r="DM23" s="16"/>
      <c r="DN23" s="48">
        <f t="shared" si="73"/>
        <v>0</v>
      </c>
      <c r="DO23" s="48"/>
      <c r="DP23" s="48"/>
      <c r="DQ23" s="48"/>
      <c r="DR23" s="48"/>
      <c r="DS23" s="48"/>
      <c r="DT23" s="48"/>
      <c r="DU23" s="16"/>
      <c r="DV23" s="48">
        <f t="shared" si="74"/>
        <v>0</v>
      </c>
      <c r="DW23" s="16" t="s">
        <v>185</v>
      </c>
      <c r="DX23" s="48">
        <f t="shared" si="75"/>
        <v>0.5</v>
      </c>
      <c r="DY23" s="16"/>
      <c r="DZ23" s="48">
        <f t="shared" si="76"/>
        <v>0</v>
      </c>
      <c r="EA23" s="16"/>
      <c r="EB23" s="48">
        <f t="shared" si="77"/>
        <v>0</v>
      </c>
      <c r="EC23" s="16"/>
      <c r="ED23" s="48">
        <f t="shared" si="78"/>
        <v>0</v>
      </c>
      <c r="EE23" s="48"/>
      <c r="EF23" s="48"/>
      <c r="EG23" s="73" t="e">
        <f t="shared" si="79"/>
        <v>#DIV/0!</v>
      </c>
    </row>
    <row r="24" spans="1:137" ht="15" hidden="1" x14ac:dyDescent="0.25">
      <c r="A24" s="1" t="s">
        <v>9</v>
      </c>
      <c r="B24" s="13"/>
      <c r="C24" s="27">
        <v>84720.9</v>
      </c>
      <c r="D24" s="13">
        <v>58775</v>
      </c>
      <c r="E24" s="28"/>
      <c r="F24" s="28"/>
      <c r="G24" s="53">
        <f t="shared" si="47"/>
        <v>0</v>
      </c>
      <c r="H24" s="38" t="s">
        <v>74</v>
      </c>
      <c r="I24" s="69">
        <f>IF(G24&lt;=0.1,1,0)</f>
        <v>1</v>
      </c>
      <c r="J24" s="13"/>
      <c r="K24" s="14">
        <v>340932.5</v>
      </c>
      <c r="L24" s="70">
        <v>278139.5</v>
      </c>
      <c r="M24" s="29"/>
      <c r="N24" s="54">
        <f t="shared" si="48"/>
        <v>0</v>
      </c>
      <c r="O24" s="38" t="s">
        <v>77</v>
      </c>
      <c r="P24" s="48">
        <f>IF(N24&lt;=1,1,0)</f>
        <v>1</v>
      </c>
      <c r="Q24" s="13"/>
      <c r="R24" s="31">
        <v>10000</v>
      </c>
      <c r="S24" s="56">
        <f t="shared" si="80"/>
        <v>0</v>
      </c>
      <c r="T24" s="38" t="s">
        <v>77</v>
      </c>
      <c r="U24" s="48">
        <f t="shared" si="49"/>
        <v>1</v>
      </c>
      <c r="V24" s="16">
        <v>12819.5</v>
      </c>
      <c r="W24" s="16">
        <v>16577</v>
      </c>
      <c r="X24" s="56">
        <f t="shared" si="50"/>
        <v>0.77333051818785059</v>
      </c>
      <c r="Y24" s="38" t="s">
        <v>77</v>
      </c>
      <c r="Z24" s="48">
        <f t="shared" si="51"/>
        <v>1</v>
      </c>
      <c r="AA24" s="94"/>
      <c r="AB24" s="94"/>
      <c r="AC24" s="63" t="e">
        <f t="shared" si="52"/>
        <v>#DIV/0!</v>
      </c>
      <c r="AD24" s="38" t="s">
        <v>77</v>
      </c>
      <c r="AE24" s="48" t="e">
        <f t="shared" si="53"/>
        <v>#DIV/0!</v>
      </c>
      <c r="AF24" s="48"/>
      <c r="AG24" s="48"/>
      <c r="AH24" s="48"/>
      <c r="AI24" s="48"/>
      <c r="AJ24" s="48"/>
      <c r="AK24" s="16"/>
      <c r="AL24" s="16"/>
      <c r="AM24" s="64">
        <v>0</v>
      </c>
      <c r="AN24" s="38" t="s">
        <v>86</v>
      </c>
      <c r="AO24" s="48">
        <f t="shared" si="54"/>
        <v>1</v>
      </c>
      <c r="AP24" s="83">
        <v>3331.7</v>
      </c>
      <c r="AQ24" s="84">
        <v>28037.8</v>
      </c>
      <c r="AR24" s="57">
        <f t="shared" si="55"/>
        <v>0.11882886674418107</v>
      </c>
      <c r="AS24" s="48">
        <f t="shared" si="56"/>
        <v>-1</v>
      </c>
      <c r="AT24" s="16"/>
      <c r="AU24" s="16">
        <v>42</v>
      </c>
      <c r="AV24" s="56">
        <f t="shared" si="57"/>
        <v>0</v>
      </c>
      <c r="AW24" s="48">
        <f t="shared" si="58"/>
        <v>-1</v>
      </c>
      <c r="AX24" s="83">
        <v>62792.9</v>
      </c>
      <c r="AY24" s="83">
        <v>56121.5</v>
      </c>
      <c r="AZ24" s="57">
        <f t="shared" si="59"/>
        <v>1.1188742282369502</v>
      </c>
      <c r="BA24" s="48">
        <f t="shared" si="60"/>
        <v>0.5</v>
      </c>
      <c r="BB24" s="48"/>
      <c r="BC24" s="48"/>
      <c r="BD24" s="48"/>
      <c r="BE24" s="48"/>
      <c r="BF24" s="48"/>
      <c r="BG24" s="48"/>
      <c r="BH24" s="96">
        <v>62792.9</v>
      </c>
      <c r="BI24" s="96">
        <v>57227</v>
      </c>
      <c r="BJ24" s="96">
        <v>75091.399999999994</v>
      </c>
      <c r="BK24" s="96">
        <v>49360</v>
      </c>
      <c r="BL24" s="56">
        <f t="shared" si="61"/>
        <v>0.72126442319372464</v>
      </c>
      <c r="BM24" s="48">
        <f t="shared" si="62"/>
        <v>0</v>
      </c>
      <c r="BN24" s="16"/>
      <c r="BO24" s="16"/>
      <c r="BP24" s="30"/>
      <c r="BQ24" s="29"/>
      <c r="BR24" s="66">
        <v>0</v>
      </c>
      <c r="BS24" s="48">
        <f t="shared" si="63"/>
        <v>0</v>
      </c>
      <c r="BT24" s="48"/>
      <c r="BU24" s="48"/>
      <c r="BV24" s="16">
        <v>0.9</v>
      </c>
      <c r="BW24" s="48">
        <f t="shared" si="64"/>
        <v>-1</v>
      </c>
      <c r="BX24" s="16"/>
      <c r="BY24" s="16"/>
      <c r="BZ24" s="16"/>
      <c r="CA24" s="29"/>
      <c r="CB24" s="29" t="e">
        <f t="shared" si="65"/>
        <v>#DIV/0!</v>
      </c>
      <c r="CC24" s="29" t="e">
        <f t="shared" si="66"/>
        <v>#DIV/0!</v>
      </c>
      <c r="CD24" s="29"/>
      <c r="CE24" s="84"/>
      <c r="CF24" s="97"/>
      <c r="CG24" s="97"/>
      <c r="CH24" s="29"/>
      <c r="CI24" s="29"/>
      <c r="CJ24" s="19"/>
      <c r="CK24" s="94">
        <v>25945.8</v>
      </c>
      <c r="CL24" s="56">
        <v>0</v>
      </c>
      <c r="CM24" s="80">
        <f t="shared" si="37"/>
        <v>1</v>
      </c>
      <c r="CN24" s="44"/>
      <c r="CO24" s="48">
        <f t="shared" si="67"/>
        <v>0</v>
      </c>
      <c r="CP24" s="83"/>
      <c r="CQ24" s="83">
        <v>1</v>
      </c>
      <c r="CR24" s="83"/>
      <c r="CS24" s="83"/>
      <c r="CT24" s="83"/>
      <c r="CU24" s="38">
        <f t="shared" si="68"/>
        <v>1</v>
      </c>
      <c r="CV24" s="48">
        <f t="shared" si="69"/>
        <v>0</v>
      </c>
      <c r="CW24" s="89"/>
      <c r="CX24" s="89"/>
      <c r="CY24" s="48"/>
      <c r="CZ24" s="48"/>
      <c r="DA24" s="89"/>
      <c r="DB24" s="89"/>
      <c r="DC24" s="38" t="e">
        <f t="shared" si="70"/>
        <v>#DIV/0!</v>
      </c>
      <c r="DD24" s="48"/>
      <c r="DE24" s="116"/>
      <c r="DF24" s="116"/>
      <c r="DG24" s="89"/>
      <c r="DH24" s="89"/>
      <c r="DI24" s="48"/>
      <c r="DJ24" s="48">
        <f t="shared" si="71"/>
        <v>0</v>
      </c>
      <c r="DK24" s="16"/>
      <c r="DL24" s="48">
        <f t="shared" si="72"/>
        <v>0</v>
      </c>
      <c r="DM24" s="16"/>
      <c r="DN24" s="48">
        <f t="shared" si="73"/>
        <v>0</v>
      </c>
      <c r="DO24" s="48"/>
      <c r="DP24" s="48"/>
      <c r="DQ24" s="48"/>
      <c r="DR24" s="48"/>
      <c r="DS24" s="48"/>
      <c r="DT24" s="48"/>
      <c r="DU24" s="16" t="s">
        <v>164</v>
      </c>
      <c r="DV24" s="48">
        <f t="shared" si="74"/>
        <v>0.5</v>
      </c>
      <c r="DW24" s="16" t="s">
        <v>165</v>
      </c>
      <c r="DX24" s="48">
        <f t="shared" si="75"/>
        <v>0.5</v>
      </c>
      <c r="DY24" s="16" t="s">
        <v>166</v>
      </c>
      <c r="DZ24" s="48">
        <f t="shared" si="76"/>
        <v>0.5</v>
      </c>
      <c r="EA24" s="16"/>
      <c r="EB24" s="48">
        <f t="shared" si="77"/>
        <v>0</v>
      </c>
      <c r="EC24" s="16"/>
      <c r="ED24" s="48">
        <f t="shared" si="78"/>
        <v>0</v>
      </c>
      <c r="EE24" s="48"/>
      <c r="EF24" s="48"/>
      <c r="EG24" s="73" t="e">
        <f t="shared" si="79"/>
        <v>#DIV/0!</v>
      </c>
    </row>
    <row r="25" spans="1:137" ht="15" hidden="1" x14ac:dyDescent="0.25">
      <c r="A25" s="1" t="s">
        <v>10</v>
      </c>
      <c r="B25" s="13"/>
      <c r="C25" s="27">
        <v>128229.1</v>
      </c>
      <c r="D25" s="13">
        <v>98988.5</v>
      </c>
      <c r="E25" s="28"/>
      <c r="F25" s="28"/>
      <c r="G25" s="53">
        <f t="shared" si="47"/>
        <v>0</v>
      </c>
      <c r="H25" s="38" t="s">
        <v>74</v>
      </c>
      <c r="I25" s="69">
        <f>IF(G25&lt;=0.1,1,0)</f>
        <v>1</v>
      </c>
      <c r="J25" s="13">
        <v>32000</v>
      </c>
      <c r="K25" s="14">
        <v>459136.8</v>
      </c>
      <c r="L25" s="70">
        <v>337343.8</v>
      </c>
      <c r="M25" s="29"/>
      <c r="N25" s="54">
        <f t="shared" si="48"/>
        <v>0.26274088001773499</v>
      </c>
      <c r="O25" s="38" t="s">
        <v>77</v>
      </c>
      <c r="P25" s="48">
        <f>IF(N25&lt;=1,1,0)</f>
        <v>1</v>
      </c>
      <c r="Q25" s="13">
        <v>32000</v>
      </c>
      <c r="R25" s="31">
        <v>97000</v>
      </c>
      <c r="S25" s="56">
        <f t="shared" si="80"/>
        <v>0.32989690721649484</v>
      </c>
      <c r="T25" s="38" t="s">
        <v>77</v>
      </c>
      <c r="U25" s="48">
        <f t="shared" si="49"/>
        <v>1</v>
      </c>
      <c r="V25" s="16">
        <v>17594.400000000001</v>
      </c>
      <c r="W25" s="16">
        <v>22034</v>
      </c>
      <c r="X25" s="56">
        <f t="shared" si="50"/>
        <v>0.79851139148588557</v>
      </c>
      <c r="Y25" s="38" t="s">
        <v>77</v>
      </c>
      <c r="Z25" s="48">
        <f t="shared" si="51"/>
        <v>1</v>
      </c>
      <c r="AA25" s="94"/>
      <c r="AB25" s="94"/>
      <c r="AC25" s="63" t="e">
        <f t="shared" si="52"/>
        <v>#DIV/0!</v>
      </c>
      <c r="AD25" s="38" t="s">
        <v>77</v>
      </c>
      <c r="AE25" s="48" t="e">
        <f t="shared" si="53"/>
        <v>#DIV/0!</v>
      </c>
      <c r="AF25" s="48"/>
      <c r="AG25" s="48"/>
      <c r="AH25" s="48"/>
      <c r="AI25" s="48"/>
      <c r="AJ25" s="48"/>
      <c r="AK25" s="16"/>
      <c r="AL25" s="16"/>
      <c r="AM25" s="64">
        <v>0</v>
      </c>
      <c r="AN25" s="38" t="s">
        <v>86</v>
      </c>
      <c r="AO25" s="48">
        <f t="shared" si="54"/>
        <v>1</v>
      </c>
      <c r="AP25" s="83">
        <v>17558.900000000001</v>
      </c>
      <c r="AQ25" s="84">
        <v>53547.7</v>
      </c>
      <c r="AR25" s="57">
        <f t="shared" si="55"/>
        <v>0.32791137621223698</v>
      </c>
      <c r="AS25" s="48">
        <f t="shared" si="56"/>
        <v>2</v>
      </c>
      <c r="AT25" s="16"/>
      <c r="AU25" s="16">
        <v>60</v>
      </c>
      <c r="AV25" s="56">
        <f t="shared" si="57"/>
        <v>0</v>
      </c>
      <c r="AW25" s="48">
        <f t="shared" si="58"/>
        <v>-1</v>
      </c>
      <c r="AX25" s="83">
        <v>121793</v>
      </c>
      <c r="AY25" s="84">
        <v>121793</v>
      </c>
      <c r="AZ25" s="56">
        <f t="shared" si="59"/>
        <v>1</v>
      </c>
      <c r="BA25" s="48">
        <f t="shared" si="60"/>
        <v>1</v>
      </c>
      <c r="BB25" s="48"/>
      <c r="BC25" s="48"/>
      <c r="BD25" s="48"/>
      <c r="BE25" s="48"/>
      <c r="BF25" s="48"/>
      <c r="BG25" s="48"/>
      <c r="BH25" s="96">
        <v>121793</v>
      </c>
      <c r="BI25" s="96">
        <v>107735</v>
      </c>
      <c r="BJ25" s="96">
        <v>123278.2</v>
      </c>
      <c r="BK25" s="96">
        <v>71717</v>
      </c>
      <c r="BL25" s="56">
        <f t="shared" si="61"/>
        <v>0.65765986929609521</v>
      </c>
      <c r="BM25" s="48">
        <f t="shared" si="62"/>
        <v>0</v>
      </c>
      <c r="BN25" s="16"/>
      <c r="BO25" s="16"/>
      <c r="BP25" s="30"/>
      <c r="BQ25" s="29"/>
      <c r="BR25" s="66">
        <v>0</v>
      </c>
      <c r="BS25" s="48">
        <f t="shared" si="63"/>
        <v>0</v>
      </c>
      <c r="BT25" s="48"/>
      <c r="BU25" s="48"/>
      <c r="BV25" s="16">
        <v>3015.3</v>
      </c>
      <c r="BW25" s="48">
        <f t="shared" si="64"/>
        <v>-1</v>
      </c>
      <c r="BX25" s="16"/>
      <c r="BY25" s="16"/>
      <c r="BZ25" s="16"/>
      <c r="CA25" s="29"/>
      <c r="CB25" s="29" t="e">
        <f t="shared" si="65"/>
        <v>#DIV/0!</v>
      </c>
      <c r="CC25" s="29" t="e">
        <f t="shared" si="66"/>
        <v>#DIV/0!</v>
      </c>
      <c r="CD25" s="29"/>
      <c r="CE25" s="84"/>
      <c r="CF25" s="97"/>
      <c r="CG25" s="97"/>
      <c r="CH25" s="29"/>
      <c r="CI25" s="29"/>
      <c r="CJ25" s="19">
        <v>32000</v>
      </c>
      <c r="CK25" s="94">
        <v>29240.6</v>
      </c>
      <c r="CL25" s="56" t="e">
        <f>(CJ25/CK25)/(#REF!/#REF!)</f>
        <v>#REF!</v>
      </c>
      <c r="CM25" s="80" t="e">
        <f t="shared" si="37"/>
        <v>#REF!</v>
      </c>
      <c r="CN25" s="44"/>
      <c r="CO25" s="48">
        <f t="shared" si="67"/>
        <v>0</v>
      </c>
      <c r="CP25" s="83">
        <v>1</v>
      </c>
      <c r="CQ25" s="83">
        <v>1</v>
      </c>
      <c r="CR25" s="83"/>
      <c r="CS25" s="83"/>
      <c r="CT25" s="83">
        <v>1</v>
      </c>
      <c r="CU25" s="38">
        <f t="shared" si="68"/>
        <v>3</v>
      </c>
      <c r="CV25" s="48">
        <f t="shared" si="69"/>
        <v>0</v>
      </c>
      <c r="CW25" s="89"/>
      <c r="CX25" s="89"/>
      <c r="CY25" s="48"/>
      <c r="CZ25" s="48"/>
      <c r="DA25" s="89"/>
      <c r="DB25" s="89"/>
      <c r="DC25" s="38" t="e">
        <f t="shared" si="70"/>
        <v>#DIV/0!</v>
      </c>
      <c r="DD25" s="48"/>
      <c r="DE25" s="116"/>
      <c r="DF25" s="116"/>
      <c r="DG25" s="89"/>
      <c r="DH25" s="89"/>
      <c r="DI25" s="48"/>
      <c r="DJ25" s="48">
        <f t="shared" si="71"/>
        <v>0</v>
      </c>
      <c r="DK25" s="16" t="s">
        <v>158</v>
      </c>
      <c r="DL25" s="48">
        <f t="shared" si="72"/>
        <v>1</v>
      </c>
      <c r="DM25" s="16"/>
      <c r="DN25" s="48">
        <f t="shared" si="73"/>
        <v>0</v>
      </c>
      <c r="DO25" s="48"/>
      <c r="DP25" s="48"/>
      <c r="DQ25" s="48"/>
      <c r="DR25" s="48"/>
      <c r="DS25" s="48"/>
      <c r="DT25" s="48"/>
      <c r="DU25" s="16" t="s">
        <v>216</v>
      </c>
      <c r="DV25" s="48">
        <f t="shared" si="74"/>
        <v>0.5</v>
      </c>
      <c r="DW25" s="16" t="s">
        <v>159</v>
      </c>
      <c r="DX25" s="48">
        <f t="shared" si="75"/>
        <v>0.5</v>
      </c>
      <c r="DY25" s="16" t="s">
        <v>160</v>
      </c>
      <c r="DZ25" s="48">
        <f t="shared" si="76"/>
        <v>0.5</v>
      </c>
      <c r="EA25" s="16"/>
      <c r="EB25" s="48">
        <f t="shared" si="77"/>
        <v>0</v>
      </c>
      <c r="EC25" s="16"/>
      <c r="ED25" s="48">
        <f t="shared" si="78"/>
        <v>0</v>
      </c>
      <c r="EE25" s="48"/>
      <c r="EF25" s="48"/>
      <c r="EG25" s="73" t="e">
        <f t="shared" si="79"/>
        <v>#DIV/0!</v>
      </c>
    </row>
    <row r="26" spans="1:137" ht="15" hidden="1" x14ac:dyDescent="0.25">
      <c r="A26" s="1" t="s">
        <v>11</v>
      </c>
      <c r="B26" s="13"/>
      <c r="C26" s="27">
        <v>40432.400000000001</v>
      </c>
      <c r="D26" s="13">
        <v>32547.200000000001</v>
      </c>
      <c r="E26" s="28"/>
      <c r="F26" s="28"/>
      <c r="G26" s="53">
        <f t="shared" si="47"/>
        <v>0</v>
      </c>
      <c r="H26" s="38" t="s">
        <v>73</v>
      </c>
      <c r="I26" s="69">
        <f>IF(G26&lt;=0.05,1,0)</f>
        <v>1</v>
      </c>
      <c r="J26" s="13">
        <v>1300</v>
      </c>
      <c r="K26" s="14">
        <v>196923.5</v>
      </c>
      <c r="L26" s="71">
        <v>164921</v>
      </c>
      <c r="M26" s="29"/>
      <c r="N26" s="54">
        <f t="shared" si="48"/>
        <v>4.062182641981095E-2</v>
      </c>
      <c r="O26" s="38" t="s">
        <v>76</v>
      </c>
      <c r="P26" s="48">
        <f>IF(N26&lt;=0.5,1,0)</f>
        <v>1</v>
      </c>
      <c r="Q26" s="13">
        <v>1300</v>
      </c>
      <c r="R26" s="31">
        <v>6924.9</v>
      </c>
      <c r="S26" s="56">
        <f t="shared" si="80"/>
        <v>0.18772834264754726</v>
      </c>
      <c r="T26" s="38" t="s">
        <v>77</v>
      </c>
      <c r="U26" s="48">
        <f t="shared" si="49"/>
        <v>1</v>
      </c>
      <c r="V26" s="16">
        <v>15628.7</v>
      </c>
      <c r="W26" s="16">
        <v>16120</v>
      </c>
      <c r="X26" s="56">
        <f t="shared" si="50"/>
        <v>0.96952233250620357</v>
      </c>
      <c r="Y26" s="38" t="s">
        <v>77</v>
      </c>
      <c r="Z26" s="48">
        <f t="shared" si="51"/>
        <v>1</v>
      </c>
      <c r="AA26" s="94"/>
      <c r="AB26" s="94"/>
      <c r="AC26" s="63" t="e">
        <f t="shared" si="52"/>
        <v>#DIV/0!</v>
      </c>
      <c r="AD26" s="38" t="s">
        <v>77</v>
      </c>
      <c r="AE26" s="48" t="e">
        <f t="shared" si="53"/>
        <v>#DIV/0!</v>
      </c>
      <c r="AF26" s="48"/>
      <c r="AG26" s="48"/>
      <c r="AH26" s="48"/>
      <c r="AI26" s="48"/>
      <c r="AJ26" s="48"/>
      <c r="AK26" s="16"/>
      <c r="AL26" s="16"/>
      <c r="AM26" s="64">
        <v>0</v>
      </c>
      <c r="AN26" s="38" t="s">
        <v>86</v>
      </c>
      <c r="AO26" s="48">
        <f t="shared" si="54"/>
        <v>1</v>
      </c>
      <c r="AP26" s="83">
        <v>110</v>
      </c>
      <c r="AQ26" s="84">
        <v>23325</v>
      </c>
      <c r="AR26" s="57">
        <f t="shared" si="55"/>
        <v>4.715969989281886E-3</v>
      </c>
      <c r="AS26" s="48">
        <f t="shared" si="56"/>
        <v>-1</v>
      </c>
      <c r="AT26" s="16"/>
      <c r="AU26" s="16">
        <v>57</v>
      </c>
      <c r="AV26" s="56">
        <f t="shared" si="57"/>
        <v>0</v>
      </c>
      <c r="AW26" s="48">
        <f t="shared" si="58"/>
        <v>-1</v>
      </c>
      <c r="AX26" s="83">
        <v>32002.5</v>
      </c>
      <c r="AY26" s="83">
        <v>31948.9</v>
      </c>
      <c r="AZ26" s="56">
        <f t="shared" si="59"/>
        <v>1.001677679043723</v>
      </c>
      <c r="BA26" s="48">
        <f t="shared" si="60"/>
        <v>1</v>
      </c>
      <c r="BB26" s="48"/>
      <c r="BC26" s="48"/>
      <c r="BD26" s="48"/>
      <c r="BE26" s="48"/>
      <c r="BF26" s="48"/>
      <c r="BG26" s="48"/>
      <c r="BH26" s="96">
        <v>32002.5</v>
      </c>
      <c r="BI26" s="96">
        <v>65567</v>
      </c>
      <c r="BJ26" s="96">
        <v>32685.1</v>
      </c>
      <c r="BK26" s="96">
        <v>63404</v>
      </c>
      <c r="BL26" s="56">
        <f t="shared" si="61"/>
        <v>0.94681566006950635</v>
      </c>
      <c r="BM26" s="48">
        <f t="shared" si="62"/>
        <v>0</v>
      </c>
      <c r="BN26" s="16"/>
      <c r="BO26" s="16"/>
      <c r="BP26" s="30"/>
      <c r="BQ26" s="29"/>
      <c r="BR26" s="66">
        <v>0</v>
      </c>
      <c r="BS26" s="48">
        <f t="shared" si="63"/>
        <v>0</v>
      </c>
      <c r="BT26" s="48"/>
      <c r="BU26" s="48"/>
      <c r="BV26" s="16">
        <v>492.7</v>
      </c>
      <c r="BW26" s="48">
        <f t="shared" si="64"/>
        <v>-1</v>
      </c>
      <c r="BX26" s="16"/>
      <c r="BY26" s="16"/>
      <c r="BZ26" s="16"/>
      <c r="CA26" s="29"/>
      <c r="CB26" s="29" t="e">
        <f t="shared" si="65"/>
        <v>#DIV/0!</v>
      </c>
      <c r="CC26" s="29" t="e">
        <f t="shared" si="66"/>
        <v>#DIV/0!</v>
      </c>
      <c r="CD26" s="29"/>
      <c r="CE26" s="84"/>
      <c r="CF26" s="97"/>
      <c r="CG26" s="97"/>
      <c r="CH26" s="29"/>
      <c r="CI26" s="29"/>
      <c r="CJ26" s="19">
        <v>1300</v>
      </c>
      <c r="CK26" s="94">
        <v>7885.2</v>
      </c>
      <c r="CL26" s="56" t="s">
        <v>222</v>
      </c>
      <c r="CM26" s="80">
        <f t="shared" si="37"/>
        <v>0</v>
      </c>
      <c r="CN26" s="44"/>
      <c r="CO26" s="48">
        <f t="shared" si="67"/>
        <v>0</v>
      </c>
      <c r="CP26" s="83">
        <v>1</v>
      </c>
      <c r="CQ26" s="83">
        <v>1</v>
      </c>
      <c r="CR26" s="83">
        <v>1</v>
      </c>
      <c r="CS26" s="83"/>
      <c r="CT26" s="83"/>
      <c r="CU26" s="38">
        <f t="shared" si="68"/>
        <v>3</v>
      </c>
      <c r="CV26" s="48">
        <f t="shared" si="69"/>
        <v>0</v>
      </c>
      <c r="CW26" s="89"/>
      <c r="CX26" s="89"/>
      <c r="CY26" s="48"/>
      <c r="CZ26" s="48"/>
      <c r="DA26" s="89"/>
      <c r="DB26" s="89"/>
      <c r="DC26" s="38" t="e">
        <f t="shared" si="70"/>
        <v>#DIV/0!</v>
      </c>
      <c r="DD26" s="48"/>
      <c r="DE26" s="116"/>
      <c r="DF26" s="116"/>
      <c r="DG26" s="89"/>
      <c r="DH26" s="89"/>
      <c r="DI26" s="48"/>
      <c r="DJ26" s="48">
        <f t="shared" si="71"/>
        <v>0</v>
      </c>
      <c r="DK26" s="16"/>
      <c r="DL26" s="48">
        <f t="shared" si="72"/>
        <v>0</v>
      </c>
      <c r="DM26" s="16"/>
      <c r="DN26" s="48">
        <f t="shared" si="73"/>
        <v>0</v>
      </c>
      <c r="DO26" s="48"/>
      <c r="DP26" s="48"/>
      <c r="DQ26" s="48"/>
      <c r="DR26" s="48"/>
      <c r="DS26" s="48"/>
      <c r="DT26" s="48"/>
      <c r="DU26" s="16"/>
      <c r="DV26" s="48">
        <f t="shared" si="74"/>
        <v>0</v>
      </c>
      <c r="DW26" s="16" t="s">
        <v>102</v>
      </c>
      <c r="DX26" s="48">
        <f t="shared" si="75"/>
        <v>0.5</v>
      </c>
      <c r="DY26" s="16"/>
      <c r="DZ26" s="48">
        <f t="shared" si="76"/>
        <v>0</v>
      </c>
      <c r="EA26" s="16"/>
      <c r="EB26" s="48">
        <f t="shared" si="77"/>
        <v>0</v>
      </c>
      <c r="EC26" s="16"/>
      <c r="ED26" s="48">
        <f t="shared" si="78"/>
        <v>0</v>
      </c>
      <c r="EE26" s="48"/>
      <c r="EF26" s="48"/>
      <c r="EG26" s="73" t="e">
        <f t="shared" si="79"/>
        <v>#DIV/0!</v>
      </c>
    </row>
    <row r="27" spans="1:137" ht="15" hidden="1" x14ac:dyDescent="0.25">
      <c r="A27" s="1" t="s">
        <v>12</v>
      </c>
      <c r="B27" s="13"/>
      <c r="C27" s="27">
        <v>87307</v>
      </c>
      <c r="D27" s="13">
        <v>61664.4</v>
      </c>
      <c r="E27" s="28"/>
      <c r="F27" s="28"/>
      <c r="G27" s="53">
        <f t="shared" si="47"/>
        <v>0</v>
      </c>
      <c r="H27" s="38" t="s">
        <v>74</v>
      </c>
      <c r="I27" s="69">
        <f>IF(G27&lt;=0.1,1,0)</f>
        <v>1</v>
      </c>
      <c r="J27" s="13">
        <v>10038.76</v>
      </c>
      <c r="K27" s="14">
        <v>400746.2</v>
      </c>
      <c r="L27" s="70">
        <v>287883.2</v>
      </c>
      <c r="M27" s="29"/>
      <c r="N27" s="54">
        <f t="shared" si="48"/>
        <v>8.8946421767984202E-2</v>
      </c>
      <c r="O27" s="38" t="s">
        <v>77</v>
      </c>
      <c r="P27" s="48">
        <f>IF(N27&lt;=1,1,0)</f>
        <v>1</v>
      </c>
      <c r="Q27" s="13">
        <v>10038.76</v>
      </c>
      <c r="R27" s="31">
        <v>19500</v>
      </c>
      <c r="S27" s="56">
        <f t="shared" si="80"/>
        <v>0.51480820512820513</v>
      </c>
      <c r="T27" s="38" t="s">
        <v>77</v>
      </c>
      <c r="U27" s="48">
        <f t="shared" si="49"/>
        <v>1</v>
      </c>
      <c r="V27" s="16">
        <v>13460.9</v>
      </c>
      <c r="W27" s="16">
        <v>17705</v>
      </c>
      <c r="X27" s="56">
        <f t="shared" si="50"/>
        <v>0.76028805422197121</v>
      </c>
      <c r="Y27" s="38" t="s">
        <v>77</v>
      </c>
      <c r="Z27" s="48">
        <f t="shared" si="51"/>
        <v>1</v>
      </c>
      <c r="AA27" s="94"/>
      <c r="AB27" s="94"/>
      <c r="AC27" s="63" t="e">
        <f t="shared" si="52"/>
        <v>#DIV/0!</v>
      </c>
      <c r="AD27" s="38" t="s">
        <v>77</v>
      </c>
      <c r="AE27" s="48" t="e">
        <f t="shared" si="53"/>
        <v>#DIV/0!</v>
      </c>
      <c r="AF27" s="48"/>
      <c r="AG27" s="48"/>
      <c r="AH27" s="48"/>
      <c r="AI27" s="48"/>
      <c r="AJ27" s="48"/>
      <c r="AK27" s="16"/>
      <c r="AL27" s="16"/>
      <c r="AM27" s="64">
        <v>0</v>
      </c>
      <c r="AN27" s="38" t="s">
        <v>86</v>
      </c>
      <c r="AO27" s="48">
        <f t="shared" si="54"/>
        <v>1</v>
      </c>
      <c r="AP27" s="83">
        <v>834.6</v>
      </c>
      <c r="AQ27" s="84">
        <v>39219.4</v>
      </c>
      <c r="AR27" s="57">
        <f t="shared" si="55"/>
        <v>2.1280284757033509E-2</v>
      </c>
      <c r="AS27" s="48">
        <f t="shared" si="56"/>
        <v>-1</v>
      </c>
      <c r="AT27" s="16"/>
      <c r="AU27" s="16">
        <v>55</v>
      </c>
      <c r="AV27" s="56">
        <f t="shared" si="57"/>
        <v>0</v>
      </c>
      <c r="AW27" s="48">
        <f t="shared" si="58"/>
        <v>-1</v>
      </c>
      <c r="AX27" s="83">
        <v>112863</v>
      </c>
      <c r="AY27" s="83">
        <v>111233</v>
      </c>
      <c r="AZ27" s="56">
        <f t="shared" si="59"/>
        <v>1.0146539246446649</v>
      </c>
      <c r="BA27" s="48">
        <f t="shared" si="60"/>
        <v>1</v>
      </c>
      <c r="BB27" s="48"/>
      <c r="BC27" s="48"/>
      <c r="BD27" s="48"/>
      <c r="BE27" s="48"/>
      <c r="BF27" s="48"/>
      <c r="BG27" s="48"/>
      <c r="BH27" s="96">
        <v>112863</v>
      </c>
      <c r="BI27" s="96">
        <v>52062</v>
      </c>
      <c r="BJ27" s="96">
        <v>123822</v>
      </c>
      <c r="BK27" s="96">
        <v>31996</v>
      </c>
      <c r="BL27" s="56">
        <f t="shared" si="61"/>
        <v>0.56018131117507319</v>
      </c>
      <c r="BM27" s="48">
        <f t="shared" si="62"/>
        <v>0</v>
      </c>
      <c r="BN27" s="16"/>
      <c r="BO27" s="16"/>
      <c r="BP27" s="30"/>
      <c r="BQ27" s="29"/>
      <c r="BR27" s="66">
        <v>0</v>
      </c>
      <c r="BS27" s="48">
        <f t="shared" si="63"/>
        <v>0</v>
      </c>
      <c r="BT27" s="48"/>
      <c r="BU27" s="48"/>
      <c r="BV27" s="16">
        <v>102.5</v>
      </c>
      <c r="BW27" s="48">
        <f t="shared" si="64"/>
        <v>-1</v>
      </c>
      <c r="BX27" s="16"/>
      <c r="BY27" s="16"/>
      <c r="BZ27" s="16"/>
      <c r="CA27" s="29"/>
      <c r="CB27" s="29" t="e">
        <f t="shared" si="65"/>
        <v>#DIV/0!</v>
      </c>
      <c r="CC27" s="29" t="e">
        <f t="shared" si="66"/>
        <v>#DIV/0!</v>
      </c>
      <c r="CD27" s="29"/>
      <c r="CE27" s="84"/>
      <c r="CF27" s="97"/>
      <c r="CG27" s="97"/>
      <c r="CH27" s="29"/>
      <c r="CI27" s="29"/>
      <c r="CJ27" s="19">
        <v>10038.76</v>
      </c>
      <c r="CK27" s="94">
        <v>25642.6</v>
      </c>
      <c r="CL27" s="56" t="e">
        <f>(CJ27/CK27)/(#REF!/#REF!)</f>
        <v>#REF!</v>
      </c>
      <c r="CM27" s="80" t="e">
        <f t="shared" si="37"/>
        <v>#REF!</v>
      </c>
      <c r="CN27" s="44"/>
      <c r="CO27" s="48">
        <f t="shared" si="67"/>
        <v>0</v>
      </c>
      <c r="CP27" s="83"/>
      <c r="CQ27" s="83"/>
      <c r="CR27" s="83"/>
      <c r="CS27" s="83">
        <v>1</v>
      </c>
      <c r="CT27" s="83">
        <v>1</v>
      </c>
      <c r="CU27" s="38">
        <f t="shared" si="68"/>
        <v>2</v>
      </c>
      <c r="CV27" s="48">
        <f t="shared" si="69"/>
        <v>0</v>
      </c>
      <c r="CW27" s="89"/>
      <c r="CX27" s="89"/>
      <c r="CY27" s="48"/>
      <c r="CZ27" s="48"/>
      <c r="DA27" s="89"/>
      <c r="DB27" s="89"/>
      <c r="DC27" s="38" t="e">
        <f t="shared" si="70"/>
        <v>#DIV/0!</v>
      </c>
      <c r="DD27" s="48"/>
      <c r="DE27" s="116"/>
      <c r="DF27" s="116"/>
      <c r="DG27" s="89"/>
      <c r="DH27" s="89"/>
      <c r="DI27" s="48"/>
      <c r="DJ27" s="48">
        <f t="shared" si="71"/>
        <v>0</v>
      </c>
      <c r="DK27" s="16" t="s">
        <v>111</v>
      </c>
      <c r="DL27" s="48">
        <f t="shared" si="72"/>
        <v>1</v>
      </c>
      <c r="DM27" s="16" t="s">
        <v>112</v>
      </c>
      <c r="DN27" s="48">
        <f t="shared" si="73"/>
        <v>0.5</v>
      </c>
      <c r="DO27" s="48"/>
      <c r="DP27" s="48"/>
      <c r="DQ27" s="48"/>
      <c r="DR27" s="48"/>
      <c r="DS27" s="48"/>
      <c r="DT27" s="48"/>
      <c r="DU27" s="16" t="s">
        <v>113</v>
      </c>
      <c r="DV27" s="48">
        <f t="shared" si="74"/>
        <v>0.5</v>
      </c>
      <c r="DW27" s="16" t="s">
        <v>115</v>
      </c>
      <c r="DX27" s="48">
        <f t="shared" si="75"/>
        <v>0.5</v>
      </c>
      <c r="DY27" s="16" t="s">
        <v>114</v>
      </c>
      <c r="DZ27" s="48">
        <f t="shared" si="76"/>
        <v>0.5</v>
      </c>
      <c r="EA27" s="16"/>
      <c r="EB27" s="48">
        <f t="shared" si="77"/>
        <v>0</v>
      </c>
      <c r="EC27" s="16"/>
      <c r="ED27" s="48">
        <f t="shared" si="78"/>
        <v>0</v>
      </c>
      <c r="EE27" s="48"/>
      <c r="EF27" s="48"/>
      <c r="EG27" s="73" t="e">
        <f t="shared" si="79"/>
        <v>#DIV/0!</v>
      </c>
    </row>
    <row r="28" spans="1:137" ht="15" hidden="1" x14ac:dyDescent="0.25">
      <c r="A28" s="1" t="s">
        <v>13</v>
      </c>
      <c r="B28" s="13"/>
      <c r="C28" s="27">
        <v>40826.699999999997</v>
      </c>
      <c r="D28" s="13">
        <v>34887</v>
      </c>
      <c r="E28" s="28"/>
      <c r="F28" s="28"/>
      <c r="G28" s="53">
        <f t="shared" si="47"/>
        <v>0</v>
      </c>
      <c r="H28" s="38" t="s">
        <v>73</v>
      </c>
      <c r="I28" s="69">
        <f>IF(G28&lt;=0.05,1,0)</f>
        <v>1</v>
      </c>
      <c r="J28" s="13"/>
      <c r="K28" s="14">
        <v>173256.2</v>
      </c>
      <c r="L28" s="70">
        <v>148959</v>
      </c>
      <c r="M28" s="29"/>
      <c r="N28" s="54">
        <f t="shared" si="48"/>
        <v>0</v>
      </c>
      <c r="O28" s="38" t="s">
        <v>76</v>
      </c>
      <c r="P28" s="48">
        <f>IF(N28&lt;=0.5,1,0)</f>
        <v>1</v>
      </c>
      <c r="Q28" s="13"/>
      <c r="R28" s="31">
        <v>0</v>
      </c>
      <c r="S28" s="56">
        <v>0</v>
      </c>
      <c r="T28" s="38" t="s">
        <v>77</v>
      </c>
      <c r="U28" s="48">
        <f t="shared" si="49"/>
        <v>1</v>
      </c>
      <c r="V28" s="16">
        <v>11277.8</v>
      </c>
      <c r="W28" s="16">
        <v>14322</v>
      </c>
      <c r="X28" s="56">
        <f t="shared" si="50"/>
        <v>0.78744588744588739</v>
      </c>
      <c r="Y28" s="38" t="s">
        <v>77</v>
      </c>
      <c r="Z28" s="48">
        <f t="shared" si="51"/>
        <v>1</v>
      </c>
      <c r="AA28" s="94"/>
      <c r="AB28" s="94"/>
      <c r="AC28" s="63" t="e">
        <f t="shared" si="52"/>
        <v>#DIV/0!</v>
      </c>
      <c r="AD28" s="38" t="s">
        <v>77</v>
      </c>
      <c r="AE28" s="48" t="e">
        <f t="shared" si="53"/>
        <v>#DIV/0!</v>
      </c>
      <c r="AF28" s="48"/>
      <c r="AG28" s="48"/>
      <c r="AH28" s="48"/>
      <c r="AI28" s="48"/>
      <c r="AJ28" s="48"/>
      <c r="AK28" s="16"/>
      <c r="AL28" s="16"/>
      <c r="AM28" s="64">
        <v>0</v>
      </c>
      <c r="AN28" s="38" t="s">
        <v>86</v>
      </c>
      <c r="AO28" s="48">
        <f t="shared" si="54"/>
        <v>1</v>
      </c>
      <c r="AP28" s="83">
        <v>2.7</v>
      </c>
      <c r="AQ28" s="84">
        <v>9401.2999999999993</v>
      </c>
      <c r="AR28" s="57">
        <f t="shared" si="55"/>
        <v>2.8719432418920792E-4</v>
      </c>
      <c r="AS28" s="48">
        <f t="shared" si="56"/>
        <v>-1</v>
      </c>
      <c r="AT28" s="16"/>
      <c r="AU28" s="16">
        <v>31</v>
      </c>
      <c r="AV28" s="56">
        <f t="shared" si="57"/>
        <v>0</v>
      </c>
      <c r="AW28" s="48">
        <f t="shared" si="58"/>
        <v>-1</v>
      </c>
      <c r="AX28" s="83">
        <v>24297.200000000001</v>
      </c>
      <c r="AY28" s="83">
        <v>24197.200000000001</v>
      </c>
      <c r="AZ28" s="56">
        <f t="shared" si="59"/>
        <v>1.0041327095697024</v>
      </c>
      <c r="BA28" s="48">
        <f t="shared" si="60"/>
        <v>1</v>
      </c>
      <c r="BB28" s="48"/>
      <c r="BC28" s="48"/>
      <c r="BD28" s="48"/>
      <c r="BE28" s="48"/>
      <c r="BF28" s="48"/>
      <c r="BG28" s="48"/>
      <c r="BH28" s="96">
        <v>24297.200000000001</v>
      </c>
      <c r="BI28" s="96">
        <v>59901</v>
      </c>
      <c r="BJ28" s="96">
        <v>22769.200000000001</v>
      </c>
      <c r="BK28" s="96">
        <v>53421</v>
      </c>
      <c r="BL28" s="56">
        <f t="shared" si="61"/>
        <v>0.95167004036360647</v>
      </c>
      <c r="BM28" s="48">
        <f t="shared" si="62"/>
        <v>0</v>
      </c>
      <c r="BN28" s="16"/>
      <c r="BO28" s="16"/>
      <c r="BP28" s="30"/>
      <c r="BQ28" s="29"/>
      <c r="BR28" s="66">
        <v>0</v>
      </c>
      <c r="BS28" s="48">
        <f t="shared" si="63"/>
        <v>0</v>
      </c>
      <c r="BT28" s="48"/>
      <c r="BU28" s="48"/>
      <c r="BV28" s="16"/>
      <c r="BW28" s="48">
        <f t="shared" si="64"/>
        <v>0</v>
      </c>
      <c r="BX28" s="16"/>
      <c r="BY28" s="16"/>
      <c r="BZ28" s="16"/>
      <c r="CA28" s="29"/>
      <c r="CB28" s="29" t="e">
        <f t="shared" si="65"/>
        <v>#DIV/0!</v>
      </c>
      <c r="CC28" s="29" t="e">
        <f t="shared" si="66"/>
        <v>#DIV/0!</v>
      </c>
      <c r="CD28" s="29"/>
      <c r="CE28" s="84"/>
      <c r="CF28" s="97"/>
      <c r="CG28" s="97"/>
      <c r="CH28" s="29"/>
      <c r="CI28" s="29"/>
      <c r="CJ28" s="19"/>
      <c r="CK28" s="94">
        <v>5939.7</v>
      </c>
      <c r="CL28" s="56">
        <v>0</v>
      </c>
      <c r="CM28" s="80">
        <f t="shared" si="37"/>
        <v>1</v>
      </c>
      <c r="CN28" s="44"/>
      <c r="CO28" s="48">
        <f t="shared" si="67"/>
        <v>0</v>
      </c>
      <c r="CP28" s="83">
        <v>1</v>
      </c>
      <c r="CQ28" s="83">
        <v>1</v>
      </c>
      <c r="CR28" s="83"/>
      <c r="CS28" s="83"/>
      <c r="CT28" s="83"/>
      <c r="CU28" s="38">
        <f t="shared" si="68"/>
        <v>2</v>
      </c>
      <c r="CV28" s="48">
        <f t="shared" si="69"/>
        <v>0</v>
      </c>
      <c r="CW28" s="89"/>
      <c r="CX28" s="89"/>
      <c r="CY28" s="48"/>
      <c r="CZ28" s="48"/>
      <c r="DA28" s="89"/>
      <c r="DB28" s="89"/>
      <c r="DC28" s="38" t="e">
        <f t="shared" si="70"/>
        <v>#DIV/0!</v>
      </c>
      <c r="DD28" s="48"/>
      <c r="DE28" s="116"/>
      <c r="DF28" s="116"/>
      <c r="DG28" s="89"/>
      <c r="DH28" s="89"/>
      <c r="DI28" s="48"/>
      <c r="DJ28" s="48">
        <f t="shared" si="71"/>
        <v>0</v>
      </c>
      <c r="DK28" s="16" t="s">
        <v>144</v>
      </c>
      <c r="DL28" s="48">
        <f t="shared" si="72"/>
        <v>1</v>
      </c>
      <c r="DM28" s="16" t="s">
        <v>145</v>
      </c>
      <c r="DN28" s="48">
        <f t="shared" si="73"/>
        <v>0.5</v>
      </c>
      <c r="DO28" s="48"/>
      <c r="DP28" s="48"/>
      <c r="DQ28" s="48"/>
      <c r="DR28" s="48"/>
      <c r="DS28" s="48"/>
      <c r="DT28" s="48"/>
      <c r="DU28" s="16" t="s">
        <v>146</v>
      </c>
      <c r="DV28" s="48">
        <f t="shared" si="74"/>
        <v>0.5</v>
      </c>
      <c r="DW28" s="16" t="s">
        <v>147</v>
      </c>
      <c r="DX28" s="48">
        <f t="shared" si="75"/>
        <v>0.5</v>
      </c>
      <c r="DY28" s="16" t="s">
        <v>148</v>
      </c>
      <c r="DZ28" s="48">
        <f t="shared" si="76"/>
        <v>0.5</v>
      </c>
      <c r="EA28" s="16"/>
      <c r="EB28" s="48">
        <f t="shared" si="77"/>
        <v>0</v>
      </c>
      <c r="EC28" s="16"/>
      <c r="ED28" s="48">
        <f t="shared" si="78"/>
        <v>0</v>
      </c>
      <c r="EE28" s="48"/>
      <c r="EF28" s="48"/>
      <c r="EG28" s="73" t="e">
        <f t="shared" si="79"/>
        <v>#DIV/0!</v>
      </c>
    </row>
    <row r="29" spans="1:137" ht="15" hidden="1" x14ac:dyDescent="0.25">
      <c r="A29" s="1" t="s">
        <v>14</v>
      </c>
      <c r="B29" s="13"/>
      <c r="C29" s="27">
        <v>64850.3</v>
      </c>
      <c r="D29" s="13">
        <v>54331.8</v>
      </c>
      <c r="E29" s="28"/>
      <c r="F29" s="28"/>
      <c r="G29" s="53">
        <f t="shared" si="47"/>
        <v>0</v>
      </c>
      <c r="H29" s="38" t="s">
        <v>73</v>
      </c>
      <c r="I29" s="69">
        <f>IF(G29&lt;=0.05,1,0)</f>
        <v>1</v>
      </c>
      <c r="J29" s="13">
        <v>687.99</v>
      </c>
      <c r="K29" s="14">
        <v>240685.1</v>
      </c>
      <c r="L29" s="71">
        <v>193064.1</v>
      </c>
      <c r="M29" s="29"/>
      <c r="N29" s="54">
        <f t="shared" si="48"/>
        <v>1.4447197664895739E-2</v>
      </c>
      <c r="O29" s="38" t="s">
        <v>76</v>
      </c>
      <c r="P29" s="48">
        <f>IF(N29&lt;=0.5,1,0)</f>
        <v>1</v>
      </c>
      <c r="Q29" s="49">
        <v>687.99</v>
      </c>
      <c r="R29" s="61">
        <v>25000</v>
      </c>
      <c r="S29" s="57">
        <f>Q29/R29</f>
        <v>2.7519600000000002E-2</v>
      </c>
      <c r="T29" s="38" t="s">
        <v>77</v>
      </c>
      <c r="U29" s="48">
        <f t="shared" si="49"/>
        <v>1</v>
      </c>
      <c r="V29" s="16">
        <v>15676</v>
      </c>
      <c r="W29" s="16">
        <v>16965</v>
      </c>
      <c r="X29" s="56">
        <f t="shared" si="50"/>
        <v>0.92402004126142057</v>
      </c>
      <c r="Y29" s="38" t="s">
        <v>77</v>
      </c>
      <c r="Z29" s="48">
        <f t="shared" si="51"/>
        <v>1</v>
      </c>
      <c r="AA29" s="94"/>
      <c r="AB29" s="94"/>
      <c r="AC29" s="63" t="e">
        <f t="shared" si="52"/>
        <v>#DIV/0!</v>
      </c>
      <c r="AD29" s="38" t="s">
        <v>77</v>
      </c>
      <c r="AE29" s="48" t="e">
        <f t="shared" si="53"/>
        <v>#DIV/0!</v>
      </c>
      <c r="AF29" s="48"/>
      <c r="AG29" s="48"/>
      <c r="AH29" s="48"/>
      <c r="AI29" s="48"/>
      <c r="AJ29" s="48"/>
      <c r="AK29" s="60">
        <v>406.80099999999999</v>
      </c>
      <c r="AL29" s="16"/>
      <c r="AM29" s="64">
        <v>406.8</v>
      </c>
      <c r="AN29" s="38" t="s">
        <v>86</v>
      </c>
      <c r="AO29" s="48">
        <f t="shared" si="54"/>
        <v>0</v>
      </c>
      <c r="AP29" s="83">
        <v>634.4</v>
      </c>
      <c r="AQ29" s="84">
        <v>29408.2</v>
      </c>
      <c r="AR29" s="57">
        <f t="shared" si="55"/>
        <v>2.157221455240375E-2</v>
      </c>
      <c r="AS29" s="48">
        <f t="shared" si="56"/>
        <v>-1</v>
      </c>
      <c r="AT29" s="16"/>
      <c r="AU29" s="16">
        <v>38</v>
      </c>
      <c r="AV29" s="56">
        <f t="shared" si="57"/>
        <v>0</v>
      </c>
      <c r="AW29" s="48">
        <f t="shared" si="58"/>
        <v>-1</v>
      </c>
      <c r="AX29" s="83">
        <v>47621</v>
      </c>
      <c r="AY29" s="84">
        <v>47621</v>
      </c>
      <c r="AZ29" s="56">
        <f t="shared" si="59"/>
        <v>1</v>
      </c>
      <c r="BA29" s="48">
        <f t="shared" si="60"/>
        <v>1</v>
      </c>
      <c r="BB29" s="48"/>
      <c r="BC29" s="48"/>
      <c r="BD29" s="48"/>
      <c r="BE29" s="48"/>
      <c r="BF29" s="48"/>
      <c r="BG29" s="48"/>
      <c r="BH29" s="96">
        <v>47621</v>
      </c>
      <c r="BI29" s="96">
        <v>74123</v>
      </c>
      <c r="BJ29" s="96">
        <v>45939.199999999997</v>
      </c>
      <c r="BK29" s="96">
        <v>68863</v>
      </c>
      <c r="BL29" s="56">
        <f t="shared" si="61"/>
        <v>0.96304822114604971</v>
      </c>
      <c r="BM29" s="48">
        <f t="shared" si="62"/>
        <v>0</v>
      </c>
      <c r="BN29" s="16"/>
      <c r="BO29" s="16"/>
      <c r="BP29" s="30"/>
      <c r="BQ29" s="29"/>
      <c r="BR29" s="66">
        <v>0</v>
      </c>
      <c r="BS29" s="48">
        <f t="shared" si="63"/>
        <v>0</v>
      </c>
      <c r="BT29" s="48"/>
      <c r="BU29" s="48"/>
      <c r="BV29" s="16">
        <v>418.8</v>
      </c>
      <c r="BW29" s="48">
        <f t="shared" si="64"/>
        <v>-1</v>
      </c>
      <c r="BX29" s="16"/>
      <c r="BY29" s="16"/>
      <c r="BZ29" s="16"/>
      <c r="CA29" s="29"/>
      <c r="CB29" s="29" t="e">
        <f t="shared" si="65"/>
        <v>#DIV/0!</v>
      </c>
      <c r="CC29" s="29" t="e">
        <f t="shared" si="66"/>
        <v>#DIV/0!</v>
      </c>
      <c r="CD29" s="29"/>
      <c r="CE29" s="84"/>
      <c r="CF29" s="97"/>
      <c r="CG29" s="97"/>
      <c r="CH29" s="29"/>
      <c r="CI29" s="29"/>
      <c r="CJ29" s="19">
        <v>687.99</v>
      </c>
      <c r="CK29" s="94">
        <v>10518.4</v>
      </c>
      <c r="CL29" s="56" t="e">
        <f>(CJ29/CK29)/(#REF!/#REF!)</f>
        <v>#REF!</v>
      </c>
      <c r="CM29" s="80" t="e">
        <f t="shared" si="37"/>
        <v>#REF!</v>
      </c>
      <c r="CN29" s="44"/>
      <c r="CO29" s="48">
        <f t="shared" si="67"/>
        <v>0</v>
      </c>
      <c r="CP29" s="83"/>
      <c r="CQ29" s="83"/>
      <c r="CR29" s="83">
        <v>1</v>
      </c>
      <c r="CS29" s="83"/>
      <c r="CT29" s="83"/>
      <c r="CU29" s="38">
        <f t="shared" si="68"/>
        <v>1</v>
      </c>
      <c r="CV29" s="48">
        <f t="shared" si="69"/>
        <v>0</v>
      </c>
      <c r="CW29" s="89"/>
      <c r="CX29" s="89"/>
      <c r="CY29" s="48"/>
      <c r="CZ29" s="48"/>
      <c r="DA29" s="89"/>
      <c r="DB29" s="89"/>
      <c r="DC29" s="38" t="e">
        <f t="shared" si="70"/>
        <v>#DIV/0!</v>
      </c>
      <c r="DD29" s="48"/>
      <c r="DE29" s="116"/>
      <c r="DF29" s="116"/>
      <c r="DG29" s="89"/>
      <c r="DH29" s="89"/>
      <c r="DI29" s="48"/>
      <c r="DJ29" s="48">
        <f t="shared" si="71"/>
        <v>0</v>
      </c>
      <c r="DK29" s="16"/>
      <c r="DL29" s="48">
        <f t="shared" si="72"/>
        <v>0</v>
      </c>
      <c r="DM29" s="16" t="s">
        <v>116</v>
      </c>
      <c r="DN29" s="48">
        <f t="shared" si="73"/>
        <v>0.5</v>
      </c>
      <c r="DO29" s="48"/>
      <c r="DP29" s="48"/>
      <c r="DQ29" s="48"/>
      <c r="DR29" s="48"/>
      <c r="DS29" s="48"/>
      <c r="DT29" s="48"/>
      <c r="DU29" s="16" t="s">
        <v>117</v>
      </c>
      <c r="DV29" s="48">
        <f t="shared" si="74"/>
        <v>0.5</v>
      </c>
      <c r="DW29" s="16" t="s">
        <v>118</v>
      </c>
      <c r="DX29" s="48">
        <f t="shared" si="75"/>
        <v>0.5</v>
      </c>
      <c r="DY29" s="16" t="s">
        <v>119</v>
      </c>
      <c r="DZ29" s="48">
        <f t="shared" si="76"/>
        <v>0.5</v>
      </c>
      <c r="EA29" s="16"/>
      <c r="EB29" s="48">
        <f t="shared" si="77"/>
        <v>0</v>
      </c>
      <c r="EC29" s="16"/>
      <c r="ED29" s="48">
        <f t="shared" si="78"/>
        <v>0</v>
      </c>
      <c r="EE29" s="48"/>
      <c r="EF29" s="48"/>
      <c r="EG29" s="73" t="e">
        <f t="shared" si="79"/>
        <v>#DIV/0!</v>
      </c>
    </row>
    <row r="30" spans="1:137" ht="15" hidden="1" x14ac:dyDescent="0.25">
      <c r="A30" s="1" t="s">
        <v>15</v>
      </c>
      <c r="B30" s="13"/>
      <c r="C30" s="27">
        <v>34746.1</v>
      </c>
      <c r="D30" s="13">
        <v>29886.9</v>
      </c>
      <c r="E30" s="28"/>
      <c r="F30" s="28"/>
      <c r="G30" s="53">
        <f t="shared" si="47"/>
        <v>0</v>
      </c>
      <c r="H30" s="38" t="s">
        <v>73</v>
      </c>
      <c r="I30" s="69">
        <f>IF(G30&lt;=0.05,1,0)</f>
        <v>1</v>
      </c>
      <c r="J30" s="13"/>
      <c r="K30" s="14">
        <v>172214.8</v>
      </c>
      <c r="L30" s="70">
        <v>154556.1</v>
      </c>
      <c r="M30" s="29"/>
      <c r="N30" s="54">
        <f t="shared" si="48"/>
        <v>0</v>
      </c>
      <c r="O30" s="38" t="s">
        <v>76</v>
      </c>
      <c r="P30" s="48">
        <f>IF(N30&lt;=0.5,1,0)</f>
        <v>1</v>
      </c>
      <c r="Q30" s="13"/>
      <c r="R30" s="31">
        <v>200</v>
      </c>
      <c r="S30" s="56">
        <f>Q30/R30</f>
        <v>0</v>
      </c>
      <c r="T30" s="38" t="s">
        <v>77</v>
      </c>
      <c r="U30" s="48">
        <f t="shared" si="49"/>
        <v>1</v>
      </c>
      <c r="V30" s="16">
        <v>11468.1</v>
      </c>
      <c r="W30" s="16">
        <v>14495</v>
      </c>
      <c r="X30" s="56">
        <f t="shared" si="50"/>
        <v>0.7911762676785099</v>
      </c>
      <c r="Y30" s="38" t="s">
        <v>77</v>
      </c>
      <c r="Z30" s="48">
        <f t="shared" si="51"/>
        <v>1</v>
      </c>
      <c r="AA30" s="94"/>
      <c r="AB30" s="94"/>
      <c r="AC30" s="63" t="e">
        <f t="shared" si="52"/>
        <v>#DIV/0!</v>
      </c>
      <c r="AD30" s="38" t="s">
        <v>77</v>
      </c>
      <c r="AE30" s="48" t="e">
        <f t="shared" si="53"/>
        <v>#DIV/0!</v>
      </c>
      <c r="AF30" s="48"/>
      <c r="AG30" s="48"/>
      <c r="AH30" s="48"/>
      <c r="AI30" s="48"/>
      <c r="AJ30" s="48"/>
      <c r="AK30" s="16"/>
      <c r="AL30" s="16"/>
      <c r="AM30" s="64">
        <v>0</v>
      </c>
      <c r="AN30" s="38" t="s">
        <v>86</v>
      </c>
      <c r="AO30" s="48">
        <f t="shared" si="54"/>
        <v>1</v>
      </c>
      <c r="AP30" s="83">
        <v>78.599999999999994</v>
      </c>
      <c r="AQ30" s="84">
        <v>5976.1</v>
      </c>
      <c r="AR30" s="57">
        <f t="shared" si="55"/>
        <v>1.3152390354913737E-2</v>
      </c>
      <c r="AS30" s="48">
        <f t="shared" si="56"/>
        <v>-1</v>
      </c>
      <c r="AT30" s="16"/>
      <c r="AU30" s="16">
        <v>30</v>
      </c>
      <c r="AV30" s="56">
        <f t="shared" si="57"/>
        <v>0</v>
      </c>
      <c r="AW30" s="48">
        <f t="shared" si="58"/>
        <v>-1</v>
      </c>
      <c r="AX30" s="83">
        <v>17658.7</v>
      </c>
      <c r="AY30" s="83">
        <v>17717.400000000001</v>
      </c>
      <c r="AZ30" s="56">
        <f t="shared" si="59"/>
        <v>0.99668687279171886</v>
      </c>
      <c r="BA30" s="48">
        <f t="shared" si="60"/>
        <v>1</v>
      </c>
      <c r="BB30" s="48"/>
      <c r="BC30" s="48"/>
      <c r="BD30" s="48"/>
      <c r="BE30" s="48"/>
      <c r="BF30" s="48"/>
      <c r="BG30" s="48"/>
      <c r="BH30" s="96">
        <v>17658.7</v>
      </c>
      <c r="BI30" s="96">
        <v>44557</v>
      </c>
      <c r="BJ30" s="96">
        <v>15853.8</v>
      </c>
      <c r="BK30" s="96">
        <v>36581</v>
      </c>
      <c r="BL30" s="56">
        <f t="shared" si="61"/>
        <v>0.91446057057791386</v>
      </c>
      <c r="BM30" s="48">
        <f t="shared" si="62"/>
        <v>0</v>
      </c>
      <c r="BN30" s="16"/>
      <c r="BO30" s="16"/>
      <c r="BP30" s="30"/>
      <c r="BQ30" s="29"/>
      <c r="BR30" s="66">
        <v>0</v>
      </c>
      <c r="BS30" s="48">
        <f t="shared" si="63"/>
        <v>0</v>
      </c>
      <c r="BT30" s="48"/>
      <c r="BU30" s="48"/>
      <c r="BV30" s="16"/>
      <c r="BW30" s="48">
        <f t="shared" si="64"/>
        <v>0</v>
      </c>
      <c r="BX30" s="16"/>
      <c r="BY30" s="16"/>
      <c r="BZ30" s="16"/>
      <c r="CA30" s="29"/>
      <c r="CB30" s="29" t="e">
        <f t="shared" si="65"/>
        <v>#DIV/0!</v>
      </c>
      <c r="CC30" s="29" t="e">
        <f t="shared" si="66"/>
        <v>#DIV/0!</v>
      </c>
      <c r="CD30" s="29"/>
      <c r="CE30" s="84"/>
      <c r="CF30" s="97"/>
      <c r="CG30" s="97"/>
      <c r="CH30" s="29"/>
      <c r="CI30" s="29"/>
      <c r="CJ30" s="19"/>
      <c r="CK30" s="94">
        <v>4859.2</v>
      </c>
      <c r="CL30" s="56">
        <v>0</v>
      </c>
      <c r="CM30" s="80">
        <f t="shared" si="37"/>
        <v>1</v>
      </c>
      <c r="CN30" s="44"/>
      <c r="CO30" s="48">
        <f t="shared" si="67"/>
        <v>0</v>
      </c>
      <c r="CP30" s="83">
        <v>1</v>
      </c>
      <c r="CQ30" s="83">
        <v>1</v>
      </c>
      <c r="CR30" s="83">
        <v>0</v>
      </c>
      <c r="CS30" s="83">
        <v>0</v>
      </c>
      <c r="CT30" s="83">
        <v>0</v>
      </c>
      <c r="CU30" s="38">
        <f t="shared" si="68"/>
        <v>2</v>
      </c>
      <c r="CV30" s="48">
        <f t="shared" si="69"/>
        <v>0</v>
      </c>
      <c r="CW30" s="89"/>
      <c r="CX30" s="89"/>
      <c r="CY30" s="48"/>
      <c r="CZ30" s="48"/>
      <c r="DA30" s="89"/>
      <c r="DB30" s="89"/>
      <c r="DC30" s="38" t="e">
        <f t="shared" si="70"/>
        <v>#DIV/0!</v>
      </c>
      <c r="DD30" s="48"/>
      <c r="DE30" s="116"/>
      <c r="DF30" s="116"/>
      <c r="DG30" s="89"/>
      <c r="DH30" s="89"/>
      <c r="DI30" s="48"/>
      <c r="DJ30" s="48">
        <f t="shared" si="71"/>
        <v>0</v>
      </c>
      <c r="DK30" s="16"/>
      <c r="DL30" s="48">
        <f t="shared" si="72"/>
        <v>0</v>
      </c>
      <c r="DM30" s="16"/>
      <c r="DN30" s="48">
        <f t="shared" si="73"/>
        <v>0</v>
      </c>
      <c r="DO30" s="48"/>
      <c r="DP30" s="48"/>
      <c r="DQ30" s="48"/>
      <c r="DR30" s="48"/>
      <c r="DS30" s="48"/>
      <c r="DT30" s="48"/>
      <c r="DU30" s="16"/>
      <c r="DV30" s="48">
        <f t="shared" si="74"/>
        <v>0</v>
      </c>
      <c r="DW30" s="16" t="s">
        <v>100</v>
      </c>
      <c r="DX30" s="48">
        <f t="shared" si="75"/>
        <v>0.5</v>
      </c>
      <c r="DY30" s="16" t="s">
        <v>96</v>
      </c>
      <c r="DZ30" s="48">
        <f t="shared" si="76"/>
        <v>0.5</v>
      </c>
      <c r="EA30" s="16"/>
      <c r="EB30" s="48">
        <f t="shared" si="77"/>
        <v>0</v>
      </c>
      <c r="EC30" s="16"/>
      <c r="ED30" s="48">
        <f t="shared" si="78"/>
        <v>0</v>
      </c>
      <c r="EE30" s="48"/>
      <c r="EF30" s="48"/>
      <c r="EG30" s="73" t="e">
        <f t="shared" si="79"/>
        <v>#DIV/0!</v>
      </c>
    </row>
    <row r="31" spans="1:137" ht="15" hidden="1" x14ac:dyDescent="0.25">
      <c r="A31" s="1" t="s">
        <v>16</v>
      </c>
      <c r="B31" s="13"/>
      <c r="C31" s="27">
        <v>21423.1</v>
      </c>
      <c r="D31" s="13">
        <v>16469.099999999999</v>
      </c>
      <c r="E31" s="28"/>
      <c r="F31" s="28"/>
      <c r="G31" s="53">
        <f t="shared" si="47"/>
        <v>0</v>
      </c>
      <c r="H31" s="38" t="s">
        <v>74</v>
      </c>
      <c r="I31" s="69">
        <f>IF(G31&lt;=0.1,1,0)</f>
        <v>1</v>
      </c>
      <c r="J31" s="13"/>
      <c r="K31" s="14">
        <v>120301.7</v>
      </c>
      <c r="L31" s="70">
        <v>97187.3</v>
      </c>
      <c r="M31" s="29"/>
      <c r="N31" s="54">
        <f t="shared" si="48"/>
        <v>0</v>
      </c>
      <c r="O31" s="38" t="s">
        <v>77</v>
      </c>
      <c r="P31" s="48">
        <f>IF(N31&lt;=1,1,0)</f>
        <v>1</v>
      </c>
      <c r="Q31" s="13"/>
      <c r="R31" s="31">
        <v>0</v>
      </c>
      <c r="S31" s="56">
        <v>0</v>
      </c>
      <c r="T31" s="38" t="s">
        <v>77</v>
      </c>
      <c r="U31" s="48">
        <f t="shared" si="49"/>
        <v>1</v>
      </c>
      <c r="V31" s="16">
        <v>11041.4</v>
      </c>
      <c r="W31" s="16">
        <v>14322</v>
      </c>
      <c r="X31" s="56">
        <f t="shared" si="50"/>
        <v>0.77093981287529667</v>
      </c>
      <c r="Y31" s="38" t="s">
        <v>77</v>
      </c>
      <c r="Z31" s="48">
        <f t="shared" si="51"/>
        <v>1</v>
      </c>
      <c r="AA31" s="94"/>
      <c r="AB31" s="94"/>
      <c r="AC31" s="63" t="e">
        <f t="shared" si="52"/>
        <v>#DIV/0!</v>
      </c>
      <c r="AD31" s="38" t="s">
        <v>77</v>
      </c>
      <c r="AE31" s="48" t="e">
        <f t="shared" si="53"/>
        <v>#DIV/0!</v>
      </c>
      <c r="AF31" s="48"/>
      <c r="AG31" s="48"/>
      <c r="AH31" s="48"/>
      <c r="AI31" s="48"/>
      <c r="AJ31" s="48"/>
      <c r="AK31" s="16"/>
      <c r="AL31" s="16"/>
      <c r="AM31" s="64">
        <v>0</v>
      </c>
      <c r="AN31" s="38" t="s">
        <v>86</v>
      </c>
      <c r="AO31" s="48">
        <f t="shared" si="54"/>
        <v>1</v>
      </c>
      <c r="AP31" s="83">
        <v>0</v>
      </c>
      <c r="AQ31" s="84">
        <v>8321.5</v>
      </c>
      <c r="AR31" s="57">
        <f t="shared" si="55"/>
        <v>0</v>
      </c>
      <c r="AS31" s="48">
        <f t="shared" si="56"/>
        <v>-1</v>
      </c>
      <c r="AT31" s="16"/>
      <c r="AU31" s="16">
        <v>26</v>
      </c>
      <c r="AV31" s="56">
        <f t="shared" si="57"/>
        <v>0</v>
      </c>
      <c r="AW31" s="48">
        <f t="shared" si="58"/>
        <v>-1</v>
      </c>
      <c r="AX31" s="83">
        <v>23114.400000000001</v>
      </c>
      <c r="AY31" s="83">
        <v>23364.400000000001</v>
      </c>
      <c r="AZ31" s="56">
        <f t="shared" si="59"/>
        <v>0.98929996062385506</v>
      </c>
      <c r="BA31" s="48">
        <f t="shared" si="60"/>
        <v>1</v>
      </c>
      <c r="BB31" s="48"/>
      <c r="BC31" s="48"/>
      <c r="BD31" s="48"/>
      <c r="BE31" s="48"/>
      <c r="BF31" s="48"/>
      <c r="BG31" s="48"/>
      <c r="BH31" s="96">
        <v>23114.400000000001</v>
      </c>
      <c r="BI31" s="96">
        <v>29276</v>
      </c>
      <c r="BJ31" s="96">
        <v>21694</v>
      </c>
      <c r="BK31" s="96">
        <v>23323</v>
      </c>
      <c r="BL31" s="56">
        <f t="shared" si="61"/>
        <v>0.84882011459670592</v>
      </c>
      <c r="BM31" s="48">
        <f t="shared" si="62"/>
        <v>0</v>
      </c>
      <c r="BN31" s="16"/>
      <c r="BO31" s="16"/>
      <c r="BP31" s="30"/>
      <c r="BQ31" s="29"/>
      <c r="BR31" s="66">
        <v>0</v>
      </c>
      <c r="BS31" s="48">
        <f t="shared" si="63"/>
        <v>0</v>
      </c>
      <c r="BT31" s="48"/>
      <c r="BU31" s="48"/>
      <c r="BV31" s="16"/>
      <c r="BW31" s="48">
        <f t="shared" si="64"/>
        <v>0</v>
      </c>
      <c r="BX31" s="16"/>
      <c r="BY31" s="16"/>
      <c r="BZ31" s="16"/>
      <c r="CA31" s="29"/>
      <c r="CB31" s="29" t="e">
        <f t="shared" si="65"/>
        <v>#DIV/0!</v>
      </c>
      <c r="CC31" s="29" t="e">
        <f t="shared" si="66"/>
        <v>#DIV/0!</v>
      </c>
      <c r="CD31" s="29"/>
      <c r="CE31" s="84"/>
      <c r="CF31" s="97"/>
      <c r="CG31" s="97"/>
      <c r="CH31" s="29"/>
      <c r="CI31" s="29"/>
      <c r="CJ31" s="19"/>
      <c r="CK31" s="94">
        <v>4954.1000000000004</v>
      </c>
      <c r="CL31" s="56">
        <v>0</v>
      </c>
      <c r="CM31" s="80">
        <f t="shared" si="37"/>
        <v>1</v>
      </c>
      <c r="CN31" s="44"/>
      <c r="CO31" s="48">
        <f t="shared" si="67"/>
        <v>0</v>
      </c>
      <c r="CP31" s="83">
        <v>1</v>
      </c>
      <c r="CQ31" s="83">
        <v>1</v>
      </c>
      <c r="CR31" s="83">
        <v>0</v>
      </c>
      <c r="CS31" s="83">
        <v>0</v>
      </c>
      <c r="CT31" s="83">
        <v>0</v>
      </c>
      <c r="CU31" s="38">
        <f t="shared" si="68"/>
        <v>2</v>
      </c>
      <c r="CV31" s="48">
        <f t="shared" si="69"/>
        <v>0</v>
      </c>
      <c r="CW31" s="89"/>
      <c r="CX31" s="89"/>
      <c r="CY31" s="48"/>
      <c r="CZ31" s="48"/>
      <c r="DA31" s="89"/>
      <c r="DB31" s="89"/>
      <c r="DC31" s="38" t="e">
        <f t="shared" si="70"/>
        <v>#DIV/0!</v>
      </c>
      <c r="DD31" s="48"/>
      <c r="DE31" s="116"/>
      <c r="DF31" s="116"/>
      <c r="DG31" s="89"/>
      <c r="DH31" s="89"/>
      <c r="DI31" s="48"/>
      <c r="DJ31" s="48">
        <f t="shared" si="71"/>
        <v>0</v>
      </c>
      <c r="DK31" s="16" t="s">
        <v>97</v>
      </c>
      <c r="DL31" s="48">
        <f t="shared" si="72"/>
        <v>1</v>
      </c>
      <c r="DM31" s="16"/>
      <c r="DN31" s="48">
        <f t="shared" si="73"/>
        <v>0</v>
      </c>
      <c r="DO31" s="48"/>
      <c r="DP31" s="48"/>
      <c r="DQ31" s="48"/>
      <c r="DR31" s="48"/>
      <c r="DS31" s="48"/>
      <c r="DT31" s="48"/>
      <c r="DU31" s="16" t="s">
        <v>98</v>
      </c>
      <c r="DV31" s="48">
        <f t="shared" si="74"/>
        <v>0.5</v>
      </c>
      <c r="DW31" s="16" t="s">
        <v>99</v>
      </c>
      <c r="DX31" s="48">
        <f t="shared" si="75"/>
        <v>0.5</v>
      </c>
      <c r="DY31" s="16" t="s">
        <v>101</v>
      </c>
      <c r="DZ31" s="48">
        <f t="shared" si="76"/>
        <v>0.5</v>
      </c>
      <c r="EA31" s="16"/>
      <c r="EB31" s="48">
        <f t="shared" si="77"/>
        <v>0</v>
      </c>
      <c r="EC31" s="16"/>
      <c r="ED31" s="48">
        <f t="shared" si="78"/>
        <v>0</v>
      </c>
      <c r="EE31" s="48"/>
      <c r="EF31" s="48"/>
      <c r="EG31" s="73" t="e">
        <f t="shared" si="79"/>
        <v>#DIV/0!</v>
      </c>
    </row>
    <row r="32" spans="1:137" ht="15" hidden="1" x14ac:dyDescent="0.25">
      <c r="A32" s="1" t="s">
        <v>17</v>
      </c>
      <c r="B32" s="13"/>
      <c r="C32" s="27">
        <v>96265.4</v>
      </c>
      <c r="D32" s="13">
        <v>79886.899999999994</v>
      </c>
      <c r="E32" s="28"/>
      <c r="F32" s="28"/>
      <c r="G32" s="53">
        <f t="shared" si="47"/>
        <v>0</v>
      </c>
      <c r="H32" s="38" t="s">
        <v>73</v>
      </c>
      <c r="I32" s="69">
        <f>IF(G32&lt;=0.05,1,0)</f>
        <v>1</v>
      </c>
      <c r="J32" s="13">
        <v>14068.38</v>
      </c>
      <c r="K32" s="14">
        <v>469552.1</v>
      </c>
      <c r="L32" s="71">
        <v>409698.1</v>
      </c>
      <c r="M32" s="29"/>
      <c r="N32" s="54">
        <f t="shared" si="48"/>
        <v>0.23504494269388845</v>
      </c>
      <c r="O32" s="38" t="s">
        <v>76</v>
      </c>
      <c r="P32" s="48">
        <f>IF(N32&lt;=0.5,1,0)</f>
        <v>1</v>
      </c>
      <c r="Q32" s="13">
        <v>14068.38</v>
      </c>
      <c r="R32" s="31">
        <v>28600</v>
      </c>
      <c r="S32" s="56">
        <f>Q32/R32</f>
        <v>0.49190139860139859</v>
      </c>
      <c r="T32" s="38" t="s">
        <v>77</v>
      </c>
      <c r="U32" s="48">
        <f t="shared" si="49"/>
        <v>1</v>
      </c>
      <c r="V32" s="16">
        <v>14806.5</v>
      </c>
      <c r="W32" s="16">
        <v>17738</v>
      </c>
      <c r="X32" s="56">
        <f t="shared" si="50"/>
        <v>0.83473334085015216</v>
      </c>
      <c r="Y32" s="38" t="s">
        <v>77</v>
      </c>
      <c r="Z32" s="48">
        <f t="shared" si="51"/>
        <v>1</v>
      </c>
      <c r="AA32" s="94"/>
      <c r="AB32" s="94"/>
      <c r="AC32" s="63" t="e">
        <f t="shared" si="52"/>
        <v>#DIV/0!</v>
      </c>
      <c r="AD32" s="38" t="s">
        <v>77</v>
      </c>
      <c r="AE32" s="48" t="e">
        <f t="shared" si="53"/>
        <v>#DIV/0!</v>
      </c>
      <c r="AF32" s="48"/>
      <c r="AG32" s="48"/>
      <c r="AH32" s="48"/>
      <c r="AI32" s="48"/>
      <c r="AJ32" s="48"/>
      <c r="AK32" s="16"/>
      <c r="AL32" s="16"/>
      <c r="AM32" s="64">
        <v>0</v>
      </c>
      <c r="AN32" s="38" t="s">
        <v>86</v>
      </c>
      <c r="AO32" s="48">
        <f t="shared" si="54"/>
        <v>1</v>
      </c>
      <c r="AP32" s="83">
        <v>557.20000000000005</v>
      </c>
      <c r="AQ32" s="84">
        <v>41455.800000000003</v>
      </c>
      <c r="AR32" s="57">
        <f t="shared" si="55"/>
        <v>1.3440821308477945E-2</v>
      </c>
      <c r="AS32" s="48">
        <f t="shared" si="56"/>
        <v>-1</v>
      </c>
      <c r="AT32" s="16"/>
      <c r="AU32" s="16">
        <v>102</v>
      </c>
      <c r="AV32" s="56">
        <f t="shared" si="57"/>
        <v>0</v>
      </c>
      <c r="AW32" s="48">
        <f t="shared" si="58"/>
        <v>-1</v>
      </c>
      <c r="AX32" s="83">
        <v>59854</v>
      </c>
      <c r="AY32" s="83">
        <v>57298.1</v>
      </c>
      <c r="AZ32" s="56">
        <f t="shared" si="59"/>
        <v>1.0446070637595313</v>
      </c>
      <c r="BA32" s="48">
        <f t="shared" si="60"/>
        <v>1</v>
      </c>
      <c r="BB32" s="48"/>
      <c r="BC32" s="48"/>
      <c r="BD32" s="48"/>
      <c r="BE32" s="48"/>
      <c r="BF32" s="48"/>
      <c r="BG32" s="48"/>
      <c r="BH32" s="96">
        <v>59854</v>
      </c>
      <c r="BI32" s="96">
        <v>119102</v>
      </c>
      <c r="BJ32" s="96">
        <v>58468.2</v>
      </c>
      <c r="BK32" s="96">
        <v>97252</v>
      </c>
      <c r="BL32" s="56">
        <f t="shared" si="61"/>
        <v>0.83589733859167259</v>
      </c>
      <c r="BM32" s="48">
        <f t="shared" si="62"/>
        <v>0</v>
      </c>
      <c r="BN32" s="16"/>
      <c r="BO32" s="16"/>
      <c r="BP32" s="30"/>
      <c r="BQ32" s="29"/>
      <c r="BR32" s="66">
        <v>0</v>
      </c>
      <c r="BS32" s="48">
        <f t="shared" si="63"/>
        <v>0</v>
      </c>
      <c r="BT32" s="48"/>
      <c r="BU32" s="48"/>
      <c r="BV32" s="16">
        <v>2556.9</v>
      </c>
      <c r="BW32" s="48">
        <f t="shared" si="64"/>
        <v>-1</v>
      </c>
      <c r="BX32" s="16"/>
      <c r="BY32" s="16"/>
      <c r="BZ32" s="16"/>
      <c r="CA32" s="29"/>
      <c r="CB32" s="29" t="e">
        <f t="shared" si="65"/>
        <v>#DIV/0!</v>
      </c>
      <c r="CC32" s="29" t="e">
        <f t="shared" si="66"/>
        <v>#DIV/0!</v>
      </c>
      <c r="CD32" s="29"/>
      <c r="CE32" s="84"/>
      <c r="CF32" s="97"/>
      <c r="CG32" s="97"/>
      <c r="CH32" s="29"/>
      <c r="CI32" s="29"/>
      <c r="CJ32" s="19">
        <v>14068.38</v>
      </c>
      <c r="CK32" s="94">
        <v>16378.5</v>
      </c>
      <c r="CL32" s="56" t="e">
        <f>(CJ32/CK32)/(#REF!/#REF!)</f>
        <v>#REF!</v>
      </c>
      <c r="CM32" s="80" t="e">
        <f t="shared" si="37"/>
        <v>#REF!</v>
      </c>
      <c r="CN32" s="44"/>
      <c r="CO32" s="48">
        <f t="shared" si="67"/>
        <v>0</v>
      </c>
      <c r="CP32" s="83"/>
      <c r="CQ32" s="83">
        <v>1</v>
      </c>
      <c r="CR32" s="83"/>
      <c r="CS32" s="83"/>
      <c r="CT32" s="83"/>
      <c r="CU32" s="38">
        <f t="shared" si="68"/>
        <v>1</v>
      </c>
      <c r="CV32" s="48">
        <f t="shared" si="69"/>
        <v>0</v>
      </c>
      <c r="CW32" s="89"/>
      <c r="CX32" s="89"/>
      <c r="CY32" s="48"/>
      <c r="CZ32" s="48"/>
      <c r="DA32" s="89"/>
      <c r="DB32" s="89"/>
      <c r="DC32" s="38" t="e">
        <f t="shared" si="70"/>
        <v>#DIV/0!</v>
      </c>
      <c r="DD32" s="48"/>
      <c r="DE32" s="116"/>
      <c r="DF32" s="116"/>
      <c r="DG32" s="89"/>
      <c r="DH32" s="89"/>
      <c r="DI32" s="48"/>
      <c r="DJ32" s="48">
        <f t="shared" si="71"/>
        <v>0</v>
      </c>
      <c r="DK32" s="16"/>
      <c r="DL32" s="48">
        <f t="shared" si="72"/>
        <v>0</v>
      </c>
      <c r="DM32" s="16"/>
      <c r="DN32" s="48">
        <f t="shared" si="73"/>
        <v>0</v>
      </c>
      <c r="DO32" s="48"/>
      <c r="DP32" s="48"/>
      <c r="DQ32" s="48"/>
      <c r="DR32" s="48"/>
      <c r="DS32" s="48"/>
      <c r="DT32" s="48"/>
      <c r="DU32" s="16" t="s">
        <v>186</v>
      </c>
      <c r="DV32" s="48">
        <f t="shared" si="74"/>
        <v>0.5</v>
      </c>
      <c r="DW32" s="16" t="s">
        <v>187</v>
      </c>
      <c r="DX32" s="48">
        <f t="shared" si="75"/>
        <v>0.5</v>
      </c>
      <c r="DY32" s="16" t="s">
        <v>188</v>
      </c>
      <c r="DZ32" s="48">
        <f t="shared" si="76"/>
        <v>0.5</v>
      </c>
      <c r="EA32" s="16"/>
      <c r="EB32" s="48">
        <f t="shared" si="77"/>
        <v>0</v>
      </c>
      <c r="EC32" s="16"/>
      <c r="ED32" s="48">
        <f t="shared" si="78"/>
        <v>0</v>
      </c>
      <c r="EE32" s="48"/>
      <c r="EF32" s="48"/>
      <c r="EG32" s="73" t="e">
        <f t="shared" si="79"/>
        <v>#DIV/0!</v>
      </c>
    </row>
    <row r="33" spans="1:137" ht="15" hidden="1" x14ac:dyDescent="0.25">
      <c r="A33" s="1" t="s">
        <v>18</v>
      </c>
      <c r="B33" s="13"/>
      <c r="C33" s="27">
        <v>75655.3</v>
      </c>
      <c r="D33" s="13">
        <v>56842.1</v>
      </c>
      <c r="E33" s="28"/>
      <c r="F33" s="28"/>
      <c r="G33" s="53">
        <f t="shared" si="47"/>
        <v>0</v>
      </c>
      <c r="H33" s="38" t="s">
        <v>74</v>
      </c>
      <c r="I33" s="69">
        <f>IF(G33&lt;=0.1,1,0)</f>
        <v>1</v>
      </c>
      <c r="J33" s="13"/>
      <c r="K33" s="14">
        <v>362897.9</v>
      </c>
      <c r="L33" s="70">
        <v>282834.09999999998</v>
      </c>
      <c r="M33" s="29"/>
      <c r="N33" s="54">
        <f t="shared" si="48"/>
        <v>0</v>
      </c>
      <c r="O33" s="38" t="s">
        <v>77</v>
      </c>
      <c r="P33" s="48">
        <f>IF(N33&lt;=1,1,0)</f>
        <v>1</v>
      </c>
      <c r="Q33" s="13"/>
      <c r="R33" s="31">
        <v>5323</v>
      </c>
      <c r="S33" s="56">
        <f>Q33/R33</f>
        <v>0</v>
      </c>
      <c r="T33" s="38" t="s">
        <v>77</v>
      </c>
      <c r="U33" s="48">
        <f t="shared" si="49"/>
        <v>1</v>
      </c>
      <c r="V33" s="16">
        <v>14929.2</v>
      </c>
      <c r="W33" s="16">
        <v>17139</v>
      </c>
      <c r="X33" s="56">
        <f t="shared" si="50"/>
        <v>0.87106598984771577</v>
      </c>
      <c r="Y33" s="38" t="s">
        <v>77</v>
      </c>
      <c r="Z33" s="48">
        <f t="shared" si="51"/>
        <v>1</v>
      </c>
      <c r="AA33" s="94"/>
      <c r="AB33" s="94"/>
      <c r="AC33" s="63" t="e">
        <f t="shared" si="52"/>
        <v>#DIV/0!</v>
      </c>
      <c r="AD33" s="38" t="s">
        <v>77</v>
      </c>
      <c r="AE33" s="48" t="e">
        <f t="shared" si="53"/>
        <v>#DIV/0!</v>
      </c>
      <c r="AF33" s="48"/>
      <c r="AG33" s="48"/>
      <c r="AH33" s="48"/>
      <c r="AI33" s="48"/>
      <c r="AJ33" s="48"/>
      <c r="AK33" s="16"/>
      <c r="AL33" s="16"/>
      <c r="AM33" s="64">
        <v>0</v>
      </c>
      <c r="AN33" s="38" t="s">
        <v>86</v>
      </c>
      <c r="AO33" s="48">
        <f t="shared" si="54"/>
        <v>1</v>
      </c>
      <c r="AP33" s="83">
        <v>950</v>
      </c>
      <c r="AQ33" s="84">
        <v>19678</v>
      </c>
      <c r="AR33" s="57">
        <f t="shared" si="55"/>
        <v>4.8277263949588374E-2</v>
      </c>
      <c r="AS33" s="48">
        <f t="shared" si="56"/>
        <v>-1</v>
      </c>
      <c r="AT33" s="16"/>
      <c r="AU33" s="16">
        <v>46</v>
      </c>
      <c r="AV33" s="56">
        <f t="shared" si="57"/>
        <v>0</v>
      </c>
      <c r="AW33" s="48">
        <f t="shared" si="58"/>
        <v>-1</v>
      </c>
      <c r="AX33" s="83">
        <v>80063.899999999994</v>
      </c>
      <c r="AY33" s="83">
        <v>81666.8</v>
      </c>
      <c r="AZ33" s="56">
        <f t="shared" si="59"/>
        <v>0.9803726851058201</v>
      </c>
      <c r="BA33" s="48">
        <f t="shared" si="60"/>
        <v>1</v>
      </c>
      <c r="BB33" s="48"/>
      <c r="BC33" s="48"/>
      <c r="BD33" s="48"/>
      <c r="BE33" s="48"/>
      <c r="BF33" s="48"/>
      <c r="BG33" s="48"/>
      <c r="BH33" s="96">
        <v>80063.899999999994</v>
      </c>
      <c r="BI33" s="96">
        <v>77597</v>
      </c>
      <c r="BJ33" s="96">
        <v>73607.100000000006</v>
      </c>
      <c r="BK33" s="96">
        <v>71031</v>
      </c>
      <c r="BL33" s="56">
        <f t="shared" si="61"/>
        <v>0.99568056788780623</v>
      </c>
      <c r="BM33" s="48">
        <f t="shared" si="62"/>
        <v>0</v>
      </c>
      <c r="BN33" s="16"/>
      <c r="BO33" s="16"/>
      <c r="BP33" s="30"/>
      <c r="BQ33" s="29"/>
      <c r="BR33" s="66">
        <v>0</v>
      </c>
      <c r="BS33" s="48">
        <f t="shared" si="63"/>
        <v>0</v>
      </c>
      <c r="BT33" s="48"/>
      <c r="BU33" s="48"/>
      <c r="BV33" s="16"/>
      <c r="BW33" s="48">
        <f t="shared" si="64"/>
        <v>0</v>
      </c>
      <c r="BX33" s="16"/>
      <c r="BY33" s="16"/>
      <c r="BZ33" s="16"/>
      <c r="CA33" s="29"/>
      <c r="CB33" s="29" t="e">
        <f t="shared" si="65"/>
        <v>#DIV/0!</v>
      </c>
      <c r="CC33" s="29" t="e">
        <f t="shared" si="66"/>
        <v>#DIV/0!</v>
      </c>
      <c r="CD33" s="29"/>
      <c r="CE33" s="84"/>
      <c r="CF33" s="97"/>
      <c r="CG33" s="97"/>
      <c r="CH33" s="29"/>
      <c r="CI33" s="29"/>
      <c r="CJ33" s="19"/>
      <c r="CK33" s="94">
        <v>18813.3</v>
      </c>
      <c r="CL33" s="56">
        <v>0</v>
      </c>
      <c r="CM33" s="80">
        <f t="shared" si="37"/>
        <v>1</v>
      </c>
      <c r="CN33" s="44"/>
      <c r="CO33" s="48">
        <f t="shared" si="67"/>
        <v>0</v>
      </c>
      <c r="CP33" s="83">
        <v>1</v>
      </c>
      <c r="CQ33" s="83">
        <v>1</v>
      </c>
      <c r="CR33" s="83"/>
      <c r="CS33" s="83"/>
      <c r="CT33" s="83"/>
      <c r="CU33" s="38">
        <f t="shared" si="68"/>
        <v>2</v>
      </c>
      <c r="CV33" s="48">
        <f t="shared" si="69"/>
        <v>0</v>
      </c>
      <c r="CW33" s="89"/>
      <c r="CX33" s="89"/>
      <c r="CY33" s="48"/>
      <c r="CZ33" s="48"/>
      <c r="DA33" s="89"/>
      <c r="DB33" s="89"/>
      <c r="DC33" s="38" t="e">
        <f t="shared" si="70"/>
        <v>#DIV/0!</v>
      </c>
      <c r="DD33" s="48"/>
      <c r="DE33" s="116"/>
      <c r="DF33" s="116"/>
      <c r="DG33" s="89"/>
      <c r="DH33" s="89"/>
      <c r="DI33" s="48"/>
      <c r="DJ33" s="48">
        <f t="shared" si="71"/>
        <v>0</v>
      </c>
      <c r="DK33" s="16"/>
      <c r="DL33" s="48">
        <f t="shared" si="72"/>
        <v>0</v>
      </c>
      <c r="DM33" s="16"/>
      <c r="DN33" s="48">
        <f t="shared" si="73"/>
        <v>0</v>
      </c>
      <c r="DO33" s="48"/>
      <c r="DP33" s="48"/>
      <c r="DQ33" s="48"/>
      <c r="DR33" s="48"/>
      <c r="DS33" s="48"/>
      <c r="DT33" s="48"/>
      <c r="DU33" s="16" t="s">
        <v>170</v>
      </c>
      <c r="DV33" s="48">
        <f t="shared" si="74"/>
        <v>0.5</v>
      </c>
      <c r="DW33" s="16" t="s">
        <v>171</v>
      </c>
      <c r="DX33" s="48">
        <f t="shared" si="75"/>
        <v>0.5</v>
      </c>
      <c r="DY33" s="16" t="s">
        <v>172</v>
      </c>
      <c r="DZ33" s="48">
        <f t="shared" si="76"/>
        <v>0.5</v>
      </c>
      <c r="EA33" s="16"/>
      <c r="EB33" s="48">
        <f t="shared" si="77"/>
        <v>0</v>
      </c>
      <c r="EC33" s="16"/>
      <c r="ED33" s="48">
        <f t="shared" si="78"/>
        <v>0</v>
      </c>
      <c r="EE33" s="48"/>
      <c r="EF33" s="48"/>
      <c r="EG33" s="73" t="e">
        <f t="shared" si="79"/>
        <v>#DIV/0!</v>
      </c>
    </row>
    <row r="34" spans="1:137" ht="15" hidden="1" x14ac:dyDescent="0.25">
      <c r="A34" s="1" t="s">
        <v>19</v>
      </c>
      <c r="B34" s="13"/>
      <c r="C34" s="27">
        <v>22406.7</v>
      </c>
      <c r="D34" s="13">
        <v>18100.3</v>
      </c>
      <c r="E34" s="28"/>
      <c r="F34" s="28"/>
      <c r="G34" s="53">
        <f t="shared" si="47"/>
        <v>0</v>
      </c>
      <c r="H34" s="38" t="s">
        <v>73</v>
      </c>
      <c r="I34" s="69">
        <f t="shared" ref="I34:I40" si="81">IF(G34&lt;=0.05,1,0)</f>
        <v>1</v>
      </c>
      <c r="J34" s="13"/>
      <c r="K34" s="14">
        <v>139361.70000000001</v>
      </c>
      <c r="L34" s="70">
        <v>119527</v>
      </c>
      <c r="M34" s="29"/>
      <c r="N34" s="54">
        <f t="shared" si="48"/>
        <v>0</v>
      </c>
      <c r="O34" s="38" t="s">
        <v>76</v>
      </c>
      <c r="P34" s="48">
        <f t="shared" ref="P34:P40" si="82">IF(N34&lt;=0.5,1,0)</f>
        <v>1</v>
      </c>
      <c r="Q34" s="13"/>
      <c r="R34" s="31">
        <v>0</v>
      </c>
      <c r="S34" s="56">
        <v>0</v>
      </c>
      <c r="T34" s="38" t="s">
        <v>77</v>
      </c>
      <c r="U34" s="48">
        <f t="shared" si="49"/>
        <v>1</v>
      </c>
      <c r="V34" s="16">
        <v>11189.7</v>
      </c>
      <c r="W34" s="16">
        <v>13382</v>
      </c>
      <c r="X34" s="56">
        <f t="shared" si="50"/>
        <v>0.83617545957256023</v>
      </c>
      <c r="Y34" s="38" t="s">
        <v>77</v>
      </c>
      <c r="Z34" s="48">
        <f t="shared" si="51"/>
        <v>1</v>
      </c>
      <c r="AA34" s="94"/>
      <c r="AB34" s="94"/>
      <c r="AC34" s="63" t="e">
        <f t="shared" si="52"/>
        <v>#DIV/0!</v>
      </c>
      <c r="AD34" s="38" t="s">
        <v>77</v>
      </c>
      <c r="AE34" s="48" t="e">
        <f t="shared" si="53"/>
        <v>#DIV/0!</v>
      </c>
      <c r="AF34" s="48"/>
      <c r="AG34" s="48"/>
      <c r="AH34" s="48"/>
      <c r="AI34" s="48"/>
      <c r="AJ34" s="48"/>
      <c r="AK34" s="16"/>
      <c r="AL34" s="16"/>
      <c r="AM34" s="64">
        <v>0</v>
      </c>
      <c r="AN34" s="38" t="s">
        <v>86</v>
      </c>
      <c r="AO34" s="48">
        <f t="shared" si="54"/>
        <v>1</v>
      </c>
      <c r="AP34" s="83">
        <v>28.1</v>
      </c>
      <c r="AQ34" s="84">
        <v>11875.1</v>
      </c>
      <c r="AR34" s="57">
        <f t="shared" si="55"/>
        <v>2.3662958627716818E-3</v>
      </c>
      <c r="AS34" s="48">
        <f t="shared" si="56"/>
        <v>-1</v>
      </c>
      <c r="AT34" s="16"/>
      <c r="AU34" s="16">
        <v>22</v>
      </c>
      <c r="AV34" s="56">
        <f t="shared" si="57"/>
        <v>0</v>
      </c>
      <c r="AW34" s="48">
        <f t="shared" si="58"/>
        <v>-1</v>
      </c>
      <c r="AX34" s="83">
        <v>19834.7</v>
      </c>
      <c r="AY34" s="83">
        <v>19834.7</v>
      </c>
      <c r="AZ34" s="56">
        <f t="shared" si="59"/>
        <v>1</v>
      </c>
      <c r="BA34" s="48">
        <f t="shared" si="60"/>
        <v>1</v>
      </c>
      <c r="BB34" s="48"/>
      <c r="BC34" s="48"/>
      <c r="BD34" s="48"/>
      <c r="BE34" s="48"/>
      <c r="BF34" s="48"/>
      <c r="BG34" s="48"/>
      <c r="BH34" s="96">
        <v>19834.7</v>
      </c>
      <c r="BI34" s="96">
        <v>27352</v>
      </c>
      <c r="BJ34" s="96">
        <v>16181.6</v>
      </c>
      <c r="BK34" s="96">
        <v>26911</v>
      </c>
      <c r="BL34" s="56">
        <f t="shared" si="61"/>
        <v>1.2059933780275507</v>
      </c>
      <c r="BM34" s="48">
        <f t="shared" si="62"/>
        <v>1</v>
      </c>
      <c r="BN34" s="16"/>
      <c r="BO34" s="16"/>
      <c r="BP34" s="30"/>
      <c r="BQ34" s="29"/>
      <c r="BR34" s="66">
        <v>0</v>
      </c>
      <c r="BS34" s="48">
        <f t="shared" si="63"/>
        <v>0</v>
      </c>
      <c r="BT34" s="48"/>
      <c r="BU34" s="48"/>
      <c r="BV34" s="16"/>
      <c r="BW34" s="48">
        <f t="shared" si="64"/>
        <v>0</v>
      </c>
      <c r="BX34" s="16"/>
      <c r="BY34" s="16"/>
      <c r="BZ34" s="16"/>
      <c r="CA34" s="29"/>
      <c r="CB34" s="29" t="e">
        <f t="shared" si="65"/>
        <v>#DIV/0!</v>
      </c>
      <c r="CC34" s="29" t="e">
        <f t="shared" si="66"/>
        <v>#DIV/0!</v>
      </c>
      <c r="CD34" s="29"/>
      <c r="CE34" s="84"/>
      <c r="CF34" s="97"/>
      <c r="CG34" s="97"/>
      <c r="CH34" s="29"/>
      <c r="CI34" s="29"/>
      <c r="CJ34" s="19"/>
      <c r="CK34" s="94">
        <v>4306.3999999999996</v>
      </c>
      <c r="CL34" s="56">
        <v>0</v>
      </c>
      <c r="CM34" s="80">
        <f t="shared" si="37"/>
        <v>1</v>
      </c>
      <c r="CN34" s="44"/>
      <c r="CO34" s="48">
        <f t="shared" si="67"/>
        <v>0</v>
      </c>
      <c r="CP34" s="83">
        <v>1</v>
      </c>
      <c r="CQ34" s="83">
        <v>1</v>
      </c>
      <c r="CR34" s="83"/>
      <c r="CS34" s="83"/>
      <c r="CT34" s="83"/>
      <c r="CU34" s="38">
        <f t="shared" si="68"/>
        <v>2</v>
      </c>
      <c r="CV34" s="48">
        <f t="shared" si="69"/>
        <v>0</v>
      </c>
      <c r="CW34" s="89"/>
      <c r="CX34" s="89"/>
      <c r="CY34" s="48"/>
      <c r="CZ34" s="48"/>
      <c r="DA34" s="89"/>
      <c r="DB34" s="89"/>
      <c r="DC34" s="38" t="e">
        <f t="shared" si="70"/>
        <v>#DIV/0!</v>
      </c>
      <c r="DD34" s="48"/>
      <c r="DE34" s="116"/>
      <c r="DF34" s="116"/>
      <c r="DG34" s="89"/>
      <c r="DH34" s="89"/>
      <c r="DI34" s="48"/>
      <c r="DJ34" s="48">
        <f t="shared" si="71"/>
        <v>0</v>
      </c>
      <c r="DK34" s="16" t="s">
        <v>138</v>
      </c>
      <c r="DL34" s="48">
        <f t="shared" si="72"/>
        <v>1</v>
      </c>
      <c r="DM34" s="16" t="s">
        <v>139</v>
      </c>
      <c r="DN34" s="48">
        <f t="shared" si="73"/>
        <v>0.5</v>
      </c>
      <c r="DO34" s="48"/>
      <c r="DP34" s="48"/>
      <c r="DQ34" s="48"/>
      <c r="DR34" s="48"/>
      <c r="DS34" s="48"/>
      <c r="DT34" s="48"/>
      <c r="DU34" s="16" t="s">
        <v>140</v>
      </c>
      <c r="DV34" s="48">
        <f t="shared" si="74"/>
        <v>0.5</v>
      </c>
      <c r="DW34" s="16" t="s">
        <v>141</v>
      </c>
      <c r="DX34" s="48">
        <f t="shared" si="75"/>
        <v>0.5</v>
      </c>
      <c r="DY34" s="16" t="s">
        <v>142</v>
      </c>
      <c r="DZ34" s="48">
        <f t="shared" si="76"/>
        <v>0.5</v>
      </c>
      <c r="EA34" s="16" t="s">
        <v>143</v>
      </c>
      <c r="EB34" s="48">
        <f t="shared" si="77"/>
        <v>0.5</v>
      </c>
      <c r="EC34" s="16"/>
      <c r="ED34" s="48">
        <f t="shared" si="78"/>
        <v>0</v>
      </c>
      <c r="EE34" s="48"/>
      <c r="EF34" s="48"/>
      <c r="EG34" s="73" t="e">
        <f t="shared" si="79"/>
        <v>#DIV/0!</v>
      </c>
    </row>
    <row r="35" spans="1:137" ht="15" hidden="1" x14ac:dyDescent="0.25">
      <c r="A35" s="1" t="s">
        <v>20</v>
      </c>
      <c r="B35" s="13"/>
      <c r="C35" s="27">
        <v>28148.6</v>
      </c>
      <c r="D35" s="13">
        <v>23989.5</v>
      </c>
      <c r="E35" s="28"/>
      <c r="F35" s="28"/>
      <c r="G35" s="53">
        <f t="shared" si="47"/>
        <v>0</v>
      </c>
      <c r="H35" s="38" t="s">
        <v>73</v>
      </c>
      <c r="I35" s="69">
        <f t="shared" si="81"/>
        <v>1</v>
      </c>
      <c r="J35" s="13">
        <v>564.9</v>
      </c>
      <c r="K35" s="14">
        <v>117139.3</v>
      </c>
      <c r="L35" s="70">
        <v>99402.1</v>
      </c>
      <c r="M35" s="29"/>
      <c r="N35" s="54">
        <f t="shared" si="48"/>
        <v>3.1848318787632779E-2</v>
      </c>
      <c r="O35" s="38" t="s">
        <v>76</v>
      </c>
      <c r="P35" s="48">
        <f t="shared" si="82"/>
        <v>1</v>
      </c>
      <c r="Q35" s="13">
        <v>564.9</v>
      </c>
      <c r="R35" s="31">
        <v>6864.9</v>
      </c>
      <c r="S35" s="56">
        <f t="shared" ref="S35:S42" si="83">Q35/R35</f>
        <v>8.2288161517283576E-2</v>
      </c>
      <c r="T35" s="38" t="s">
        <v>77</v>
      </c>
      <c r="U35" s="48">
        <f t="shared" si="49"/>
        <v>1</v>
      </c>
      <c r="V35" s="16">
        <v>8277.2000000000007</v>
      </c>
      <c r="W35" s="16">
        <v>13672</v>
      </c>
      <c r="X35" s="56">
        <f t="shared" si="50"/>
        <v>0.6054125219426566</v>
      </c>
      <c r="Y35" s="38" t="s">
        <v>77</v>
      </c>
      <c r="Z35" s="48">
        <f t="shared" si="51"/>
        <v>1</v>
      </c>
      <c r="AA35" s="94"/>
      <c r="AB35" s="94"/>
      <c r="AC35" s="63" t="e">
        <f t="shared" si="52"/>
        <v>#DIV/0!</v>
      </c>
      <c r="AD35" s="38" t="s">
        <v>77</v>
      </c>
      <c r="AE35" s="48" t="e">
        <f t="shared" si="53"/>
        <v>#DIV/0!</v>
      </c>
      <c r="AF35" s="48"/>
      <c r="AG35" s="48"/>
      <c r="AH35" s="48"/>
      <c r="AI35" s="48"/>
      <c r="AJ35" s="48"/>
      <c r="AK35" s="16"/>
      <c r="AL35" s="16"/>
      <c r="AM35" s="64">
        <v>0</v>
      </c>
      <c r="AN35" s="38" t="s">
        <v>86</v>
      </c>
      <c r="AO35" s="48">
        <f t="shared" si="54"/>
        <v>1</v>
      </c>
      <c r="AP35" s="83">
        <v>591.6</v>
      </c>
      <c r="AQ35" s="84">
        <v>15041</v>
      </c>
      <c r="AR35" s="57">
        <f t="shared" si="55"/>
        <v>3.9332491190745299E-2</v>
      </c>
      <c r="AS35" s="48">
        <f t="shared" si="56"/>
        <v>-1</v>
      </c>
      <c r="AT35" s="16"/>
      <c r="AU35" s="16">
        <v>22</v>
      </c>
      <c r="AV35" s="56">
        <f t="shared" si="57"/>
        <v>0</v>
      </c>
      <c r="AW35" s="48">
        <f t="shared" si="58"/>
        <v>-1</v>
      </c>
      <c r="AX35" s="83">
        <v>17737.2</v>
      </c>
      <c r="AY35" s="83">
        <v>17737.2</v>
      </c>
      <c r="AZ35" s="56">
        <f t="shared" si="59"/>
        <v>1</v>
      </c>
      <c r="BA35" s="48">
        <f t="shared" si="60"/>
        <v>1</v>
      </c>
      <c r="BB35" s="48"/>
      <c r="BC35" s="48"/>
      <c r="BD35" s="48"/>
      <c r="BE35" s="48"/>
      <c r="BF35" s="48"/>
      <c r="BG35" s="48"/>
      <c r="BH35" s="96">
        <v>17737.2</v>
      </c>
      <c r="BI35" s="96">
        <v>36970</v>
      </c>
      <c r="BJ35" s="96">
        <v>20104.8</v>
      </c>
      <c r="BK35" s="96">
        <v>32817</v>
      </c>
      <c r="BL35" s="56">
        <f t="shared" si="61"/>
        <v>0.78313157098459485</v>
      </c>
      <c r="BM35" s="48">
        <f t="shared" si="62"/>
        <v>0</v>
      </c>
      <c r="BN35" s="16"/>
      <c r="BO35" s="16"/>
      <c r="BP35" s="30"/>
      <c r="BQ35" s="29"/>
      <c r="BR35" s="66">
        <v>0</v>
      </c>
      <c r="BS35" s="48">
        <f t="shared" si="63"/>
        <v>0</v>
      </c>
      <c r="BT35" s="48"/>
      <c r="BU35" s="48"/>
      <c r="BV35" s="16">
        <v>2508.5</v>
      </c>
      <c r="BW35" s="48">
        <f t="shared" si="64"/>
        <v>-1</v>
      </c>
      <c r="BX35" s="16"/>
      <c r="BY35" s="16"/>
      <c r="BZ35" s="16"/>
      <c r="CA35" s="29"/>
      <c r="CB35" s="29" t="e">
        <f t="shared" si="65"/>
        <v>#DIV/0!</v>
      </c>
      <c r="CC35" s="29" t="e">
        <f t="shared" si="66"/>
        <v>#DIV/0!</v>
      </c>
      <c r="CD35" s="29"/>
      <c r="CE35" s="84"/>
      <c r="CF35" s="97"/>
      <c r="CG35" s="97"/>
      <c r="CH35" s="29"/>
      <c r="CI35" s="29"/>
      <c r="CJ35" s="19">
        <v>564.9</v>
      </c>
      <c r="CK35" s="94">
        <v>4159.1000000000004</v>
      </c>
      <c r="CL35" s="56" t="e">
        <f>(CJ35/CK35)/(#REF!/#REF!)</f>
        <v>#REF!</v>
      </c>
      <c r="CM35" s="80" t="e">
        <f t="shared" si="37"/>
        <v>#REF!</v>
      </c>
      <c r="CN35" s="44"/>
      <c r="CO35" s="48">
        <f t="shared" si="67"/>
        <v>0</v>
      </c>
      <c r="CP35" s="83"/>
      <c r="CQ35" s="83"/>
      <c r="CR35" s="83">
        <v>1</v>
      </c>
      <c r="CS35" s="83"/>
      <c r="CT35" s="83"/>
      <c r="CU35" s="38">
        <f t="shared" si="68"/>
        <v>1</v>
      </c>
      <c r="CV35" s="48">
        <f t="shared" si="69"/>
        <v>0</v>
      </c>
      <c r="CW35" s="89"/>
      <c r="CX35" s="89"/>
      <c r="CY35" s="48"/>
      <c r="CZ35" s="48"/>
      <c r="DA35" s="89"/>
      <c r="DB35" s="89"/>
      <c r="DC35" s="38" t="e">
        <f t="shared" si="70"/>
        <v>#DIV/0!</v>
      </c>
      <c r="DD35" s="48"/>
      <c r="DE35" s="116"/>
      <c r="DF35" s="116"/>
      <c r="DG35" s="89"/>
      <c r="DH35" s="89"/>
      <c r="DI35" s="48"/>
      <c r="DJ35" s="48">
        <f t="shared" si="71"/>
        <v>0</v>
      </c>
      <c r="DK35" s="16"/>
      <c r="DL35" s="48">
        <f t="shared" si="72"/>
        <v>0</v>
      </c>
      <c r="DM35" s="16"/>
      <c r="DN35" s="48">
        <f t="shared" si="73"/>
        <v>0</v>
      </c>
      <c r="DO35" s="48"/>
      <c r="DP35" s="48"/>
      <c r="DQ35" s="48"/>
      <c r="DR35" s="48"/>
      <c r="DS35" s="48"/>
      <c r="DT35" s="48"/>
      <c r="DU35" s="16" t="s">
        <v>189</v>
      </c>
      <c r="DV35" s="48">
        <f t="shared" si="74"/>
        <v>0.5</v>
      </c>
      <c r="DW35" s="16" t="s">
        <v>189</v>
      </c>
      <c r="DX35" s="48">
        <f t="shared" si="75"/>
        <v>0.5</v>
      </c>
      <c r="DY35" s="16" t="s">
        <v>190</v>
      </c>
      <c r="DZ35" s="48">
        <f t="shared" si="76"/>
        <v>0.5</v>
      </c>
      <c r="EA35" s="16"/>
      <c r="EB35" s="48">
        <f t="shared" si="77"/>
        <v>0</v>
      </c>
      <c r="EC35" s="16"/>
      <c r="ED35" s="48">
        <f t="shared" si="78"/>
        <v>0</v>
      </c>
      <c r="EE35" s="48"/>
      <c r="EF35" s="48"/>
      <c r="EG35" s="73" t="e">
        <f t="shared" si="79"/>
        <v>#DIV/0!</v>
      </c>
    </row>
    <row r="36" spans="1:137" ht="15" hidden="1" x14ac:dyDescent="0.25">
      <c r="A36" s="1" t="s">
        <v>21</v>
      </c>
      <c r="B36" s="13">
        <v>10656.8</v>
      </c>
      <c r="C36" s="27">
        <v>34996.300000000003</v>
      </c>
      <c r="D36" s="13">
        <v>28654.9</v>
      </c>
      <c r="E36" s="28"/>
      <c r="F36" s="28">
        <f>6906.8+3750</f>
        <v>10656.8</v>
      </c>
      <c r="G36" s="53">
        <f>(B36-F36)/(C36-D36-E36)</f>
        <v>0</v>
      </c>
      <c r="H36" s="38" t="s">
        <v>73</v>
      </c>
      <c r="I36" s="69">
        <f t="shared" si="81"/>
        <v>1</v>
      </c>
      <c r="J36" s="13">
        <v>5050</v>
      </c>
      <c r="K36" s="14">
        <v>189589.7</v>
      </c>
      <c r="L36" s="70">
        <v>163730.4</v>
      </c>
      <c r="M36" s="29"/>
      <c r="N36" s="54">
        <f t="shared" si="48"/>
        <v>0.19528757545641207</v>
      </c>
      <c r="O36" s="38" t="s">
        <v>76</v>
      </c>
      <c r="P36" s="48">
        <f t="shared" si="82"/>
        <v>1</v>
      </c>
      <c r="Q36" s="13">
        <v>5050</v>
      </c>
      <c r="R36" s="31">
        <v>7300</v>
      </c>
      <c r="S36" s="56">
        <f t="shared" si="83"/>
        <v>0.69178082191780821</v>
      </c>
      <c r="T36" s="38" t="s">
        <v>77</v>
      </c>
      <c r="U36" s="48">
        <f t="shared" si="49"/>
        <v>1</v>
      </c>
      <c r="V36" s="16">
        <v>12712.9</v>
      </c>
      <c r="W36" s="16">
        <v>14588</v>
      </c>
      <c r="X36" s="56">
        <f t="shared" si="50"/>
        <v>0.8714628461749383</v>
      </c>
      <c r="Y36" s="38" t="s">
        <v>77</v>
      </c>
      <c r="Z36" s="48">
        <f t="shared" si="51"/>
        <v>1</v>
      </c>
      <c r="AA36" s="94"/>
      <c r="AB36" s="94"/>
      <c r="AC36" s="63" t="e">
        <f t="shared" si="52"/>
        <v>#DIV/0!</v>
      </c>
      <c r="AD36" s="38" t="s">
        <v>77</v>
      </c>
      <c r="AE36" s="48" t="e">
        <f t="shared" si="53"/>
        <v>#DIV/0!</v>
      </c>
      <c r="AF36" s="48"/>
      <c r="AG36" s="48"/>
      <c r="AH36" s="48"/>
      <c r="AI36" s="48"/>
      <c r="AJ36" s="48"/>
      <c r="AK36" s="16"/>
      <c r="AL36" s="16"/>
      <c r="AM36" s="64">
        <v>0</v>
      </c>
      <c r="AN36" s="38" t="s">
        <v>86</v>
      </c>
      <c r="AO36" s="48">
        <f t="shared" si="54"/>
        <v>1</v>
      </c>
      <c r="AP36" s="83">
        <v>1329.9</v>
      </c>
      <c r="AQ36" s="84">
        <v>20209.2</v>
      </c>
      <c r="AR36" s="57">
        <f t="shared" si="55"/>
        <v>6.5806662312214242E-2</v>
      </c>
      <c r="AS36" s="48">
        <f t="shared" si="56"/>
        <v>-1</v>
      </c>
      <c r="AT36" s="16"/>
      <c r="AU36" s="16">
        <v>37</v>
      </c>
      <c r="AV36" s="56">
        <f t="shared" si="57"/>
        <v>0</v>
      </c>
      <c r="AW36" s="48">
        <f t="shared" si="58"/>
        <v>-1</v>
      </c>
      <c r="AX36" s="83">
        <v>25859.3</v>
      </c>
      <c r="AY36" s="83">
        <v>25640.3</v>
      </c>
      <c r="AZ36" s="56">
        <f t="shared" si="59"/>
        <v>1.0085412417171407</v>
      </c>
      <c r="BA36" s="48">
        <f t="shared" si="60"/>
        <v>1</v>
      </c>
      <c r="BB36" s="48"/>
      <c r="BC36" s="48"/>
      <c r="BD36" s="48"/>
      <c r="BE36" s="48"/>
      <c r="BF36" s="48"/>
      <c r="BG36" s="48"/>
      <c r="BH36" s="96">
        <v>25859.3</v>
      </c>
      <c r="BI36" s="96">
        <v>49215</v>
      </c>
      <c r="BJ36" s="96">
        <v>24553.3</v>
      </c>
      <c r="BK36" s="96">
        <v>45018</v>
      </c>
      <c r="BL36" s="56">
        <f t="shared" si="61"/>
        <v>0.96337550960687479</v>
      </c>
      <c r="BM36" s="48">
        <f t="shared" si="62"/>
        <v>0</v>
      </c>
      <c r="BN36" s="16"/>
      <c r="BO36" s="16"/>
      <c r="BP36" s="30"/>
      <c r="BQ36" s="29"/>
      <c r="BR36" s="66">
        <v>0</v>
      </c>
      <c r="BS36" s="48">
        <f t="shared" si="63"/>
        <v>0</v>
      </c>
      <c r="BT36" s="48"/>
      <c r="BU36" s="48"/>
      <c r="BV36" s="16"/>
      <c r="BW36" s="48">
        <f t="shared" si="64"/>
        <v>0</v>
      </c>
      <c r="BX36" s="16"/>
      <c r="BY36" s="16"/>
      <c r="BZ36" s="16"/>
      <c r="CA36" s="29"/>
      <c r="CB36" s="29" t="e">
        <f t="shared" si="65"/>
        <v>#DIV/0!</v>
      </c>
      <c r="CC36" s="29" t="e">
        <f t="shared" si="66"/>
        <v>#DIV/0!</v>
      </c>
      <c r="CD36" s="29"/>
      <c r="CE36" s="84"/>
      <c r="CF36" s="97"/>
      <c r="CG36" s="97"/>
      <c r="CH36" s="29"/>
      <c r="CI36" s="29"/>
      <c r="CJ36" s="19">
        <v>5050</v>
      </c>
      <c r="CK36" s="94">
        <v>6341.3</v>
      </c>
      <c r="CL36" s="56" t="e">
        <f>(CJ36/CK36)/(#REF!/#REF!)</f>
        <v>#REF!</v>
      </c>
      <c r="CM36" s="80" t="e">
        <f t="shared" si="37"/>
        <v>#REF!</v>
      </c>
      <c r="CN36" s="44"/>
      <c r="CO36" s="48">
        <f t="shared" si="67"/>
        <v>0</v>
      </c>
      <c r="CP36" s="83">
        <v>1</v>
      </c>
      <c r="CQ36" s="83">
        <v>1</v>
      </c>
      <c r="CR36" s="83">
        <v>1</v>
      </c>
      <c r="CS36" s="83"/>
      <c r="CT36" s="83">
        <v>1</v>
      </c>
      <c r="CU36" s="38">
        <f t="shared" si="68"/>
        <v>4</v>
      </c>
      <c r="CV36" s="48">
        <f t="shared" si="69"/>
        <v>0</v>
      </c>
      <c r="CW36" s="89"/>
      <c r="CX36" s="89"/>
      <c r="CY36" s="48"/>
      <c r="CZ36" s="48"/>
      <c r="DA36" s="89"/>
      <c r="DB36" s="89"/>
      <c r="DC36" s="38" t="e">
        <f t="shared" si="70"/>
        <v>#DIV/0!</v>
      </c>
      <c r="DD36" s="48"/>
      <c r="DE36" s="116"/>
      <c r="DF36" s="116"/>
      <c r="DG36" s="89"/>
      <c r="DH36" s="89"/>
      <c r="DI36" s="48"/>
      <c r="DJ36" s="48">
        <f t="shared" si="71"/>
        <v>0</v>
      </c>
      <c r="DK36" s="16"/>
      <c r="DL36" s="48">
        <f t="shared" si="72"/>
        <v>0</v>
      </c>
      <c r="DM36" s="16"/>
      <c r="DN36" s="48">
        <f t="shared" si="73"/>
        <v>0</v>
      </c>
      <c r="DO36" s="48"/>
      <c r="DP36" s="48"/>
      <c r="DQ36" s="48"/>
      <c r="DR36" s="48"/>
      <c r="DS36" s="48"/>
      <c r="DT36" s="48"/>
      <c r="DU36" s="16" t="s">
        <v>191</v>
      </c>
      <c r="DV36" s="48">
        <f t="shared" si="74"/>
        <v>0.5</v>
      </c>
      <c r="DW36" s="16" t="s">
        <v>192</v>
      </c>
      <c r="DX36" s="48">
        <f t="shared" si="75"/>
        <v>0.5</v>
      </c>
      <c r="DY36" s="16" t="s">
        <v>193</v>
      </c>
      <c r="DZ36" s="48">
        <f t="shared" si="76"/>
        <v>0.5</v>
      </c>
      <c r="EA36" s="16"/>
      <c r="EB36" s="48">
        <f t="shared" si="77"/>
        <v>0</v>
      </c>
      <c r="EC36" s="16"/>
      <c r="ED36" s="48">
        <f t="shared" si="78"/>
        <v>0</v>
      </c>
      <c r="EE36" s="48"/>
      <c r="EF36" s="48"/>
      <c r="EG36" s="73" t="e">
        <f t="shared" si="79"/>
        <v>#DIV/0!</v>
      </c>
    </row>
    <row r="37" spans="1:137" ht="15" hidden="1" x14ac:dyDescent="0.25">
      <c r="A37" s="1" t="s">
        <v>22</v>
      </c>
      <c r="B37" s="13">
        <v>292.60000000000002</v>
      </c>
      <c r="C37" s="27">
        <v>84373.4</v>
      </c>
      <c r="D37" s="13">
        <v>66758.7</v>
      </c>
      <c r="E37" s="28"/>
      <c r="F37" s="28"/>
      <c r="G37" s="53">
        <f t="shared" ref="G37:G48" si="84">(B37)/(C37-D37-E37)</f>
        <v>1.6611125934588727E-2</v>
      </c>
      <c r="H37" s="38" t="s">
        <v>73</v>
      </c>
      <c r="I37" s="69">
        <f t="shared" si="81"/>
        <v>1</v>
      </c>
      <c r="J37" s="13"/>
      <c r="K37" s="14">
        <v>374669.1</v>
      </c>
      <c r="L37" s="70">
        <v>295336.40000000002</v>
      </c>
      <c r="M37" s="29"/>
      <c r="N37" s="54">
        <f t="shared" si="48"/>
        <v>0</v>
      </c>
      <c r="O37" s="38" t="s">
        <v>76</v>
      </c>
      <c r="P37" s="48">
        <f t="shared" si="82"/>
        <v>1</v>
      </c>
      <c r="Q37" s="13"/>
      <c r="R37" s="31">
        <v>5165</v>
      </c>
      <c r="S37" s="56">
        <f t="shared" si="83"/>
        <v>0</v>
      </c>
      <c r="T37" s="38" t="s">
        <v>77</v>
      </c>
      <c r="U37" s="48">
        <f t="shared" si="49"/>
        <v>1</v>
      </c>
      <c r="V37" s="16">
        <v>13559.9</v>
      </c>
      <c r="W37" s="16">
        <v>17919</v>
      </c>
      <c r="X37" s="56">
        <f t="shared" si="50"/>
        <v>0.75673307662257938</v>
      </c>
      <c r="Y37" s="38" t="s">
        <v>77</v>
      </c>
      <c r="Z37" s="48">
        <f t="shared" si="51"/>
        <v>1</v>
      </c>
      <c r="AA37" s="94"/>
      <c r="AB37" s="94"/>
      <c r="AC37" s="63" t="e">
        <f t="shared" si="52"/>
        <v>#DIV/0!</v>
      </c>
      <c r="AD37" s="38" t="s">
        <v>77</v>
      </c>
      <c r="AE37" s="48" t="e">
        <f t="shared" si="53"/>
        <v>#DIV/0!</v>
      </c>
      <c r="AF37" s="48"/>
      <c r="AG37" s="48"/>
      <c r="AH37" s="48"/>
      <c r="AI37" s="48"/>
      <c r="AJ37" s="48"/>
      <c r="AK37" s="16"/>
      <c r="AL37" s="16"/>
      <c r="AM37" s="64">
        <v>0</v>
      </c>
      <c r="AN37" s="38" t="s">
        <v>86</v>
      </c>
      <c r="AO37" s="48">
        <f t="shared" si="54"/>
        <v>1</v>
      </c>
      <c r="AP37" s="83">
        <v>801.7</v>
      </c>
      <c r="AQ37" s="84">
        <v>33334.800000000003</v>
      </c>
      <c r="AR37" s="57">
        <f t="shared" si="55"/>
        <v>2.4049941802560686E-2</v>
      </c>
      <c r="AS37" s="48">
        <f t="shared" si="56"/>
        <v>-1</v>
      </c>
      <c r="AT37" s="16"/>
      <c r="AU37" s="16">
        <v>100</v>
      </c>
      <c r="AV37" s="56">
        <f t="shared" si="57"/>
        <v>0</v>
      </c>
      <c r="AW37" s="48">
        <f t="shared" si="58"/>
        <v>-1</v>
      </c>
      <c r="AX37" s="83">
        <v>79332.7</v>
      </c>
      <c r="AY37" s="83">
        <v>76568.7</v>
      </c>
      <c r="AZ37" s="56">
        <f t="shared" si="59"/>
        <v>1.0360983012640936</v>
      </c>
      <c r="BA37" s="48">
        <f t="shared" si="60"/>
        <v>1</v>
      </c>
      <c r="BB37" s="48"/>
      <c r="BC37" s="48"/>
      <c r="BD37" s="48"/>
      <c r="BE37" s="48"/>
      <c r="BF37" s="48"/>
      <c r="BG37" s="48"/>
      <c r="BH37" s="96">
        <v>79332.7</v>
      </c>
      <c r="BI37" s="96">
        <v>59272</v>
      </c>
      <c r="BJ37" s="96">
        <v>65979</v>
      </c>
      <c r="BK37" s="96">
        <v>75250</v>
      </c>
      <c r="BL37" s="56">
        <f t="shared" si="61"/>
        <v>1.5265232694142767</v>
      </c>
      <c r="BM37" s="48">
        <f t="shared" si="62"/>
        <v>1</v>
      </c>
      <c r="BN37" s="16"/>
      <c r="BO37" s="16"/>
      <c r="BP37" s="30"/>
      <c r="BQ37" s="29"/>
      <c r="BR37" s="66">
        <v>0</v>
      </c>
      <c r="BS37" s="48">
        <f t="shared" si="63"/>
        <v>0</v>
      </c>
      <c r="BT37" s="48"/>
      <c r="BU37" s="48"/>
      <c r="BV37" s="16"/>
      <c r="BW37" s="48">
        <f t="shared" si="64"/>
        <v>0</v>
      </c>
      <c r="BX37" s="16"/>
      <c r="BY37" s="16"/>
      <c r="BZ37" s="16"/>
      <c r="CA37" s="29"/>
      <c r="CB37" s="29" t="e">
        <f t="shared" si="65"/>
        <v>#DIV/0!</v>
      </c>
      <c r="CC37" s="29" t="e">
        <f t="shared" si="66"/>
        <v>#DIV/0!</v>
      </c>
      <c r="CD37" s="29"/>
      <c r="CE37" s="84"/>
      <c r="CF37" s="97"/>
      <c r="CG37" s="97"/>
      <c r="CH37" s="29"/>
      <c r="CI37" s="29"/>
      <c r="CJ37" s="19"/>
      <c r="CK37" s="94">
        <v>17614.599999999999</v>
      </c>
      <c r="CL37" s="56">
        <v>0</v>
      </c>
      <c r="CM37" s="80">
        <f t="shared" si="37"/>
        <v>1</v>
      </c>
      <c r="CN37" s="44"/>
      <c r="CO37" s="48">
        <f t="shared" si="67"/>
        <v>0</v>
      </c>
      <c r="CP37" s="83">
        <v>1</v>
      </c>
      <c r="CQ37" s="83">
        <v>1</v>
      </c>
      <c r="CR37" s="83">
        <v>1</v>
      </c>
      <c r="CS37" s="83">
        <v>1</v>
      </c>
      <c r="CT37" s="83">
        <v>1</v>
      </c>
      <c r="CU37" s="38">
        <f t="shared" si="68"/>
        <v>5</v>
      </c>
      <c r="CV37" s="48">
        <f t="shared" si="69"/>
        <v>1</v>
      </c>
      <c r="CW37" s="89"/>
      <c r="CX37" s="89"/>
      <c r="CY37" s="48"/>
      <c r="CZ37" s="48"/>
      <c r="DA37" s="89"/>
      <c r="DB37" s="89"/>
      <c r="DC37" s="38" t="e">
        <f t="shared" si="70"/>
        <v>#DIV/0!</v>
      </c>
      <c r="DD37" s="48"/>
      <c r="DE37" s="116"/>
      <c r="DF37" s="116"/>
      <c r="DG37" s="89"/>
      <c r="DH37" s="89"/>
      <c r="DI37" s="48"/>
      <c r="DJ37" s="48">
        <f t="shared" si="71"/>
        <v>0</v>
      </c>
      <c r="DK37" s="16" t="s">
        <v>194</v>
      </c>
      <c r="DL37" s="48">
        <f t="shared" si="72"/>
        <v>1</v>
      </c>
      <c r="DM37" s="16"/>
      <c r="DN37" s="48">
        <f t="shared" si="73"/>
        <v>0</v>
      </c>
      <c r="DO37" s="48"/>
      <c r="DP37" s="48"/>
      <c r="DQ37" s="48"/>
      <c r="DR37" s="48"/>
      <c r="DS37" s="48"/>
      <c r="DT37" s="48"/>
      <c r="DU37" s="16" t="s">
        <v>195</v>
      </c>
      <c r="DV37" s="48">
        <f t="shared" si="74"/>
        <v>0.5</v>
      </c>
      <c r="DW37" s="16" t="s">
        <v>196</v>
      </c>
      <c r="DX37" s="48">
        <f t="shared" si="75"/>
        <v>0.5</v>
      </c>
      <c r="DY37" s="16" t="s">
        <v>197</v>
      </c>
      <c r="DZ37" s="48">
        <f t="shared" si="76"/>
        <v>0.5</v>
      </c>
      <c r="EA37" s="16" t="s">
        <v>198</v>
      </c>
      <c r="EB37" s="48">
        <f t="shared" si="77"/>
        <v>0.5</v>
      </c>
      <c r="EC37" s="16"/>
      <c r="ED37" s="48">
        <f t="shared" si="78"/>
        <v>0</v>
      </c>
      <c r="EE37" s="48"/>
      <c r="EF37" s="48"/>
      <c r="EG37" s="73" t="e">
        <f t="shared" si="79"/>
        <v>#DIV/0!</v>
      </c>
    </row>
    <row r="38" spans="1:137" ht="15" hidden="1" x14ac:dyDescent="0.25">
      <c r="A38" s="1" t="s">
        <v>23</v>
      </c>
      <c r="B38" s="13"/>
      <c r="C38" s="27">
        <v>46901.1</v>
      </c>
      <c r="D38" s="13">
        <v>40397.1</v>
      </c>
      <c r="E38" s="28"/>
      <c r="F38" s="28"/>
      <c r="G38" s="53">
        <f t="shared" si="84"/>
        <v>0</v>
      </c>
      <c r="H38" s="38" t="s">
        <v>73</v>
      </c>
      <c r="I38" s="69">
        <f t="shared" si="81"/>
        <v>1</v>
      </c>
      <c r="J38" s="13">
        <v>680</v>
      </c>
      <c r="K38" s="14">
        <v>200979.9</v>
      </c>
      <c r="L38" s="70">
        <v>172970.9</v>
      </c>
      <c r="M38" s="29"/>
      <c r="N38" s="54">
        <f t="shared" si="48"/>
        <v>2.4277910671569852E-2</v>
      </c>
      <c r="O38" s="38" t="s">
        <v>76</v>
      </c>
      <c r="P38" s="48">
        <f t="shared" si="82"/>
        <v>1</v>
      </c>
      <c r="Q38" s="13">
        <v>680</v>
      </c>
      <c r="R38" s="31">
        <v>1000</v>
      </c>
      <c r="S38" s="56">
        <f t="shared" si="83"/>
        <v>0.68</v>
      </c>
      <c r="T38" s="38" t="s">
        <v>77</v>
      </c>
      <c r="U38" s="48">
        <f t="shared" si="49"/>
        <v>1</v>
      </c>
      <c r="V38" s="16">
        <v>13171.7</v>
      </c>
      <c r="W38" s="16">
        <v>14574</v>
      </c>
      <c r="X38" s="56">
        <f t="shared" si="50"/>
        <v>0.90378070536571986</v>
      </c>
      <c r="Y38" s="38" t="s">
        <v>77</v>
      </c>
      <c r="Z38" s="48">
        <f t="shared" si="51"/>
        <v>1</v>
      </c>
      <c r="AA38" s="94"/>
      <c r="AB38" s="94"/>
      <c r="AC38" s="63" t="e">
        <f t="shared" si="52"/>
        <v>#DIV/0!</v>
      </c>
      <c r="AD38" s="38" t="s">
        <v>77</v>
      </c>
      <c r="AE38" s="48" t="e">
        <f t="shared" si="53"/>
        <v>#DIV/0!</v>
      </c>
      <c r="AF38" s="48"/>
      <c r="AG38" s="48"/>
      <c r="AH38" s="48"/>
      <c r="AI38" s="48"/>
      <c r="AJ38" s="48"/>
      <c r="AK38" s="16"/>
      <c r="AL38" s="16"/>
      <c r="AM38" s="64">
        <v>0</v>
      </c>
      <c r="AN38" s="38" t="s">
        <v>86</v>
      </c>
      <c r="AO38" s="48">
        <f t="shared" si="54"/>
        <v>1</v>
      </c>
      <c r="AP38" s="83">
        <v>233.8</v>
      </c>
      <c r="AQ38" s="84">
        <v>22965.4</v>
      </c>
      <c r="AR38" s="57">
        <f t="shared" si="55"/>
        <v>1.018053245316868E-2</v>
      </c>
      <c r="AS38" s="48">
        <f t="shared" si="56"/>
        <v>-1</v>
      </c>
      <c r="AT38" s="16"/>
      <c r="AU38" s="16">
        <v>37</v>
      </c>
      <c r="AV38" s="56">
        <f t="shared" si="57"/>
        <v>0</v>
      </c>
      <c r="AW38" s="48">
        <f t="shared" si="58"/>
        <v>-1</v>
      </c>
      <c r="AX38" s="83">
        <v>28009</v>
      </c>
      <c r="AY38" s="83">
        <v>28009</v>
      </c>
      <c r="AZ38" s="56">
        <f t="shared" si="59"/>
        <v>1</v>
      </c>
      <c r="BA38" s="48">
        <f t="shared" si="60"/>
        <v>1</v>
      </c>
      <c r="BB38" s="48"/>
      <c r="BC38" s="48"/>
      <c r="BD38" s="48"/>
      <c r="BE38" s="48"/>
      <c r="BF38" s="48"/>
      <c r="BG38" s="48"/>
      <c r="BH38" s="96">
        <v>28009</v>
      </c>
      <c r="BI38" s="96">
        <v>60199</v>
      </c>
      <c r="BJ38" s="96">
        <v>24450</v>
      </c>
      <c r="BK38" s="96">
        <v>52693</v>
      </c>
      <c r="BL38" s="56">
        <f t="shared" si="61"/>
        <v>1.0027262592021398</v>
      </c>
      <c r="BM38" s="48">
        <f t="shared" si="62"/>
        <v>1</v>
      </c>
      <c r="BN38" s="16"/>
      <c r="BO38" s="16"/>
      <c r="BP38" s="30"/>
      <c r="BQ38" s="29"/>
      <c r="BR38" s="66">
        <v>0</v>
      </c>
      <c r="BS38" s="48">
        <f t="shared" si="63"/>
        <v>0</v>
      </c>
      <c r="BT38" s="48"/>
      <c r="BU38" s="48"/>
      <c r="BV38" s="16">
        <v>553.70000000000005</v>
      </c>
      <c r="BW38" s="48">
        <f t="shared" si="64"/>
        <v>-1</v>
      </c>
      <c r="BX38" s="16"/>
      <c r="BY38" s="16"/>
      <c r="BZ38" s="16"/>
      <c r="CA38" s="29"/>
      <c r="CB38" s="29" t="e">
        <f t="shared" si="65"/>
        <v>#DIV/0!</v>
      </c>
      <c r="CC38" s="29" t="e">
        <f t="shared" si="66"/>
        <v>#DIV/0!</v>
      </c>
      <c r="CD38" s="29"/>
      <c r="CE38" s="84"/>
      <c r="CF38" s="97"/>
      <c r="CG38" s="97"/>
      <c r="CH38" s="29"/>
      <c r="CI38" s="29"/>
      <c r="CJ38" s="19">
        <v>680</v>
      </c>
      <c r="CK38" s="94">
        <v>6504</v>
      </c>
      <c r="CL38" s="56" t="s">
        <v>222</v>
      </c>
      <c r="CM38" s="80">
        <f t="shared" si="37"/>
        <v>0</v>
      </c>
      <c r="CN38" s="44"/>
      <c r="CO38" s="48">
        <f t="shared" si="67"/>
        <v>0</v>
      </c>
      <c r="CP38" s="83">
        <v>1</v>
      </c>
      <c r="CQ38" s="83">
        <v>1</v>
      </c>
      <c r="CR38" s="83">
        <v>1</v>
      </c>
      <c r="CS38" s="83"/>
      <c r="CT38" s="83"/>
      <c r="CU38" s="38">
        <f t="shared" si="68"/>
        <v>3</v>
      </c>
      <c r="CV38" s="48">
        <f t="shared" si="69"/>
        <v>0</v>
      </c>
      <c r="CW38" s="89"/>
      <c r="CX38" s="89"/>
      <c r="CY38" s="48"/>
      <c r="CZ38" s="48"/>
      <c r="DA38" s="89"/>
      <c r="DB38" s="89"/>
      <c r="DC38" s="38" t="e">
        <f t="shared" si="70"/>
        <v>#DIV/0!</v>
      </c>
      <c r="DD38" s="48"/>
      <c r="DE38" s="116"/>
      <c r="DF38" s="116"/>
      <c r="DG38" s="89"/>
      <c r="DH38" s="89"/>
      <c r="DI38" s="48"/>
      <c r="DJ38" s="48">
        <f t="shared" si="71"/>
        <v>0</v>
      </c>
      <c r="DK38" s="16"/>
      <c r="DL38" s="48">
        <f t="shared" si="72"/>
        <v>0</v>
      </c>
      <c r="DM38" s="16"/>
      <c r="DN38" s="48">
        <f t="shared" si="73"/>
        <v>0</v>
      </c>
      <c r="DO38" s="48"/>
      <c r="DP38" s="48"/>
      <c r="DQ38" s="48"/>
      <c r="DR38" s="48"/>
      <c r="DS38" s="48"/>
      <c r="DT38" s="48"/>
      <c r="DU38" s="16" t="s">
        <v>135</v>
      </c>
      <c r="DV38" s="48">
        <f t="shared" si="74"/>
        <v>0.5</v>
      </c>
      <c r="DW38" s="16" t="s">
        <v>136</v>
      </c>
      <c r="DX38" s="48">
        <f t="shared" si="75"/>
        <v>0.5</v>
      </c>
      <c r="DY38" s="16" t="s">
        <v>137</v>
      </c>
      <c r="DZ38" s="48">
        <f t="shared" si="76"/>
        <v>0.5</v>
      </c>
      <c r="EA38" s="16"/>
      <c r="EB38" s="48">
        <f t="shared" si="77"/>
        <v>0</v>
      </c>
      <c r="EC38" s="16"/>
      <c r="ED38" s="48">
        <f t="shared" si="78"/>
        <v>0</v>
      </c>
      <c r="EE38" s="48"/>
      <c r="EF38" s="48"/>
      <c r="EG38" s="73" t="e">
        <f t="shared" si="79"/>
        <v>#DIV/0!</v>
      </c>
    </row>
    <row r="39" spans="1:137" ht="15" hidden="1" x14ac:dyDescent="0.25">
      <c r="A39" s="1" t="s">
        <v>24</v>
      </c>
      <c r="B39" s="13"/>
      <c r="C39" s="27">
        <v>37581.5</v>
      </c>
      <c r="D39" s="13">
        <v>29296.5</v>
      </c>
      <c r="E39" s="28"/>
      <c r="F39" s="28"/>
      <c r="G39" s="53">
        <f t="shared" si="84"/>
        <v>0</v>
      </c>
      <c r="H39" s="38" t="s">
        <v>73</v>
      </c>
      <c r="I39" s="69">
        <f t="shared" si="81"/>
        <v>1</v>
      </c>
      <c r="J39" s="13">
        <v>607.1</v>
      </c>
      <c r="K39" s="14">
        <v>162810.9</v>
      </c>
      <c r="L39" s="70">
        <v>126819.8</v>
      </c>
      <c r="M39" s="29"/>
      <c r="N39" s="54">
        <f t="shared" si="48"/>
        <v>1.6868059047931299E-2</v>
      </c>
      <c r="O39" s="38" t="s">
        <v>76</v>
      </c>
      <c r="P39" s="48">
        <f t="shared" si="82"/>
        <v>1</v>
      </c>
      <c r="Q39" s="13">
        <v>607.1</v>
      </c>
      <c r="R39" s="31">
        <v>3962</v>
      </c>
      <c r="S39" s="56">
        <f t="shared" si="83"/>
        <v>0.1532306915699142</v>
      </c>
      <c r="T39" s="38" t="s">
        <v>77</v>
      </c>
      <c r="U39" s="48">
        <f t="shared" si="49"/>
        <v>1</v>
      </c>
      <c r="V39" s="16">
        <v>12565.5</v>
      </c>
      <c r="W39" s="16">
        <v>14720</v>
      </c>
      <c r="X39" s="56">
        <f t="shared" si="50"/>
        <v>0.85363451086956521</v>
      </c>
      <c r="Y39" s="38" t="s">
        <v>77</v>
      </c>
      <c r="Z39" s="48">
        <f t="shared" si="51"/>
        <v>1</v>
      </c>
      <c r="AA39" s="94"/>
      <c r="AB39" s="94"/>
      <c r="AC39" s="63" t="e">
        <f t="shared" si="52"/>
        <v>#DIV/0!</v>
      </c>
      <c r="AD39" s="38" t="s">
        <v>77</v>
      </c>
      <c r="AE39" s="48" t="e">
        <f t="shared" si="53"/>
        <v>#DIV/0!</v>
      </c>
      <c r="AF39" s="48"/>
      <c r="AG39" s="48"/>
      <c r="AH39" s="48"/>
      <c r="AI39" s="48"/>
      <c r="AJ39" s="48"/>
      <c r="AK39" s="16"/>
      <c r="AL39" s="16"/>
      <c r="AM39" s="64">
        <v>0</v>
      </c>
      <c r="AN39" s="38" t="s">
        <v>86</v>
      </c>
      <c r="AO39" s="48">
        <f t="shared" si="54"/>
        <v>1</v>
      </c>
      <c r="AP39" s="83">
        <v>55.9</v>
      </c>
      <c r="AQ39" s="84">
        <v>14326.9</v>
      </c>
      <c r="AR39" s="57">
        <f t="shared" si="55"/>
        <v>3.9017512511429547E-3</v>
      </c>
      <c r="AS39" s="48">
        <f t="shared" si="56"/>
        <v>-1</v>
      </c>
      <c r="AT39" s="16"/>
      <c r="AU39" s="16">
        <v>35</v>
      </c>
      <c r="AV39" s="56">
        <f t="shared" si="57"/>
        <v>0</v>
      </c>
      <c r="AW39" s="48">
        <f t="shared" si="58"/>
        <v>-1</v>
      </c>
      <c r="AX39" s="83">
        <v>35991.1</v>
      </c>
      <c r="AY39" s="83">
        <v>35901.1</v>
      </c>
      <c r="AZ39" s="56">
        <f t="shared" si="59"/>
        <v>1.002506886975608</v>
      </c>
      <c r="BA39" s="48">
        <f t="shared" si="60"/>
        <v>1</v>
      </c>
      <c r="BB39" s="48"/>
      <c r="BC39" s="48"/>
      <c r="BD39" s="48"/>
      <c r="BE39" s="48"/>
      <c r="BF39" s="48"/>
      <c r="BG39" s="48"/>
      <c r="BH39" s="96">
        <v>35991.1</v>
      </c>
      <c r="BI39" s="96">
        <v>56429</v>
      </c>
      <c r="BJ39" s="96">
        <v>31975.8</v>
      </c>
      <c r="BK39" s="96">
        <v>48957</v>
      </c>
      <c r="BL39" s="56">
        <f t="shared" si="61"/>
        <v>0.97653124723011919</v>
      </c>
      <c r="BM39" s="48">
        <f t="shared" si="62"/>
        <v>0</v>
      </c>
      <c r="BN39" s="16"/>
      <c r="BO39" s="16"/>
      <c r="BP39" s="30"/>
      <c r="BQ39" s="29"/>
      <c r="BR39" s="66">
        <v>0</v>
      </c>
      <c r="BS39" s="48">
        <f t="shared" si="63"/>
        <v>0</v>
      </c>
      <c r="BT39" s="48"/>
      <c r="BU39" s="48"/>
      <c r="BV39" s="16"/>
      <c r="BW39" s="48">
        <f t="shared" si="64"/>
        <v>0</v>
      </c>
      <c r="BX39" s="16"/>
      <c r="BY39" s="16"/>
      <c r="BZ39" s="16"/>
      <c r="CA39" s="29"/>
      <c r="CB39" s="29" t="e">
        <f t="shared" si="65"/>
        <v>#DIV/0!</v>
      </c>
      <c r="CC39" s="29" t="e">
        <f t="shared" si="66"/>
        <v>#DIV/0!</v>
      </c>
      <c r="CD39" s="29"/>
      <c r="CE39" s="84"/>
      <c r="CF39" s="97"/>
      <c r="CG39" s="97"/>
      <c r="CH39" s="29"/>
      <c r="CI39" s="29"/>
      <c r="CJ39" s="19">
        <v>607.1</v>
      </c>
      <c r="CK39" s="94">
        <v>8284.9</v>
      </c>
      <c r="CL39" s="56" t="s">
        <v>222</v>
      </c>
      <c r="CM39" s="80">
        <f t="shared" si="37"/>
        <v>0</v>
      </c>
      <c r="CN39" s="44">
        <v>9</v>
      </c>
      <c r="CO39" s="48">
        <f t="shared" si="67"/>
        <v>-1</v>
      </c>
      <c r="CP39" s="83">
        <v>1</v>
      </c>
      <c r="CQ39" s="83">
        <v>1</v>
      </c>
      <c r="CR39" s="83">
        <v>1</v>
      </c>
      <c r="CS39" s="83"/>
      <c r="CT39" s="83"/>
      <c r="CU39" s="38">
        <f t="shared" si="68"/>
        <v>3</v>
      </c>
      <c r="CV39" s="48">
        <f t="shared" si="69"/>
        <v>0</v>
      </c>
      <c r="CW39" s="89"/>
      <c r="CX39" s="89"/>
      <c r="CY39" s="48"/>
      <c r="CZ39" s="48"/>
      <c r="DA39" s="89"/>
      <c r="DB39" s="89"/>
      <c r="DC39" s="38" t="e">
        <f t="shared" si="70"/>
        <v>#DIV/0!</v>
      </c>
      <c r="DD39" s="48"/>
      <c r="DE39" s="116"/>
      <c r="DF39" s="116"/>
      <c r="DG39" s="89"/>
      <c r="DH39" s="89"/>
      <c r="DI39" s="48"/>
      <c r="DJ39" s="48">
        <f t="shared" si="71"/>
        <v>0</v>
      </c>
      <c r="DK39" s="16"/>
      <c r="DL39" s="48">
        <f t="shared" si="72"/>
        <v>0</v>
      </c>
      <c r="DM39" s="16"/>
      <c r="DN39" s="48">
        <f t="shared" si="73"/>
        <v>0</v>
      </c>
      <c r="DO39" s="48"/>
      <c r="DP39" s="48"/>
      <c r="DQ39" s="48"/>
      <c r="DR39" s="48"/>
      <c r="DS39" s="48"/>
      <c r="DT39" s="48"/>
      <c r="DU39" s="16"/>
      <c r="DV39" s="48">
        <f t="shared" si="74"/>
        <v>0</v>
      </c>
      <c r="DW39" s="16" t="s">
        <v>131</v>
      </c>
      <c r="DX39" s="48">
        <f t="shared" si="75"/>
        <v>0.5</v>
      </c>
      <c r="DY39" s="16" t="s">
        <v>217</v>
      </c>
      <c r="DZ39" s="48">
        <f t="shared" si="76"/>
        <v>0.5</v>
      </c>
      <c r="EA39" s="16"/>
      <c r="EB39" s="48">
        <f t="shared" si="77"/>
        <v>0</v>
      </c>
      <c r="EC39" s="16"/>
      <c r="ED39" s="48">
        <f t="shared" si="78"/>
        <v>0</v>
      </c>
      <c r="EE39" s="48"/>
      <c r="EF39" s="48"/>
      <c r="EG39" s="73" t="e">
        <f t="shared" si="79"/>
        <v>#DIV/0!</v>
      </c>
    </row>
    <row r="40" spans="1:137" ht="15" hidden="1" x14ac:dyDescent="0.25">
      <c r="A40" s="1" t="s">
        <v>25</v>
      </c>
      <c r="B40" s="13"/>
      <c r="C40" s="27">
        <v>31924.3</v>
      </c>
      <c r="D40" s="13">
        <v>25402.5</v>
      </c>
      <c r="E40" s="28"/>
      <c r="F40" s="28"/>
      <c r="G40" s="53">
        <f t="shared" si="84"/>
        <v>0</v>
      </c>
      <c r="H40" s="38" t="s">
        <v>73</v>
      </c>
      <c r="I40" s="69">
        <f t="shared" si="81"/>
        <v>1</v>
      </c>
      <c r="J40" s="13"/>
      <c r="K40" s="14">
        <v>153677.79999999999</v>
      </c>
      <c r="L40" s="70">
        <v>126417</v>
      </c>
      <c r="M40" s="29"/>
      <c r="N40" s="54">
        <f t="shared" si="48"/>
        <v>0</v>
      </c>
      <c r="O40" s="38" t="s">
        <v>76</v>
      </c>
      <c r="P40" s="48">
        <f t="shared" si="82"/>
        <v>1</v>
      </c>
      <c r="Q40" s="13"/>
      <c r="R40" s="31">
        <v>2580</v>
      </c>
      <c r="S40" s="56">
        <f t="shared" si="83"/>
        <v>0</v>
      </c>
      <c r="T40" s="38" t="s">
        <v>77</v>
      </c>
      <c r="U40" s="48">
        <f t="shared" si="49"/>
        <v>1</v>
      </c>
      <c r="V40" s="16">
        <v>15502</v>
      </c>
      <c r="W40" s="16">
        <v>15530</v>
      </c>
      <c r="X40" s="56">
        <f t="shared" si="50"/>
        <v>0.99819703799098514</v>
      </c>
      <c r="Y40" s="38" t="s">
        <v>77</v>
      </c>
      <c r="Z40" s="48">
        <f t="shared" si="51"/>
        <v>1</v>
      </c>
      <c r="AA40" s="94"/>
      <c r="AB40" s="94"/>
      <c r="AC40" s="63" t="e">
        <f t="shared" si="52"/>
        <v>#DIV/0!</v>
      </c>
      <c r="AD40" s="38" t="s">
        <v>77</v>
      </c>
      <c r="AE40" s="48" t="e">
        <f t="shared" si="53"/>
        <v>#DIV/0!</v>
      </c>
      <c r="AF40" s="48"/>
      <c r="AG40" s="48"/>
      <c r="AH40" s="48"/>
      <c r="AI40" s="48"/>
      <c r="AJ40" s="48"/>
      <c r="AK40" s="16"/>
      <c r="AL40" s="16"/>
      <c r="AM40" s="64">
        <v>0</v>
      </c>
      <c r="AN40" s="38" t="s">
        <v>86</v>
      </c>
      <c r="AO40" s="48">
        <f t="shared" si="54"/>
        <v>1</v>
      </c>
      <c r="AP40" s="83">
        <v>237.6</v>
      </c>
      <c r="AQ40" s="84">
        <v>4743.7</v>
      </c>
      <c r="AR40" s="57">
        <f t="shared" si="55"/>
        <v>5.0087484453064067E-2</v>
      </c>
      <c r="AS40" s="48">
        <f t="shared" si="56"/>
        <v>-1</v>
      </c>
      <c r="AT40" s="16"/>
      <c r="AU40" s="16">
        <v>28</v>
      </c>
      <c r="AV40" s="56">
        <f t="shared" si="57"/>
        <v>0</v>
      </c>
      <c r="AW40" s="48">
        <f t="shared" si="58"/>
        <v>-1</v>
      </c>
      <c r="AX40" s="83">
        <v>27260.799999999999</v>
      </c>
      <c r="AY40" s="83">
        <v>27022.7</v>
      </c>
      <c r="AZ40" s="56">
        <f t="shared" si="59"/>
        <v>1.0088111106588165</v>
      </c>
      <c r="BA40" s="48">
        <f t="shared" si="60"/>
        <v>1</v>
      </c>
      <c r="BB40" s="48"/>
      <c r="BC40" s="48"/>
      <c r="BD40" s="48"/>
      <c r="BE40" s="48"/>
      <c r="BF40" s="48"/>
      <c r="BG40" s="48"/>
      <c r="BH40" s="96">
        <v>27260.799999999999</v>
      </c>
      <c r="BI40" s="96">
        <v>54193</v>
      </c>
      <c r="BJ40" s="96">
        <v>24771.4</v>
      </c>
      <c r="BK40" s="96">
        <v>38325</v>
      </c>
      <c r="BL40" s="56">
        <f t="shared" si="61"/>
        <v>0.77826413048932275</v>
      </c>
      <c r="BM40" s="48">
        <f t="shared" si="62"/>
        <v>0</v>
      </c>
      <c r="BN40" s="16"/>
      <c r="BO40" s="16"/>
      <c r="BP40" s="30"/>
      <c r="BQ40" s="29"/>
      <c r="BR40" s="66">
        <v>0</v>
      </c>
      <c r="BS40" s="48">
        <f t="shared" si="63"/>
        <v>0</v>
      </c>
      <c r="BT40" s="48"/>
      <c r="BU40" s="48"/>
      <c r="BV40" s="16"/>
      <c r="BW40" s="48">
        <f t="shared" si="64"/>
        <v>0</v>
      </c>
      <c r="BX40" s="16"/>
      <c r="BY40" s="16"/>
      <c r="BZ40" s="16"/>
      <c r="CA40" s="29"/>
      <c r="CB40" s="29" t="e">
        <f t="shared" si="65"/>
        <v>#DIV/0!</v>
      </c>
      <c r="CC40" s="29" t="e">
        <f t="shared" si="66"/>
        <v>#DIV/0!</v>
      </c>
      <c r="CD40" s="29"/>
      <c r="CE40" s="84"/>
      <c r="CF40" s="97"/>
      <c r="CG40" s="97"/>
      <c r="CH40" s="29"/>
      <c r="CI40" s="29"/>
      <c r="CJ40" s="19"/>
      <c r="CK40" s="94">
        <v>6521.8</v>
      </c>
      <c r="CL40" s="56">
        <v>0</v>
      </c>
      <c r="CM40" s="80">
        <f t="shared" si="37"/>
        <v>1</v>
      </c>
      <c r="CN40" s="44"/>
      <c r="CO40" s="48">
        <f t="shared" si="67"/>
        <v>0</v>
      </c>
      <c r="CP40" s="83">
        <v>1</v>
      </c>
      <c r="CQ40" s="83">
        <v>1</v>
      </c>
      <c r="CR40" s="83">
        <v>1</v>
      </c>
      <c r="CS40" s="83">
        <v>1</v>
      </c>
      <c r="CT40" s="83">
        <v>1</v>
      </c>
      <c r="CU40" s="38">
        <f t="shared" si="68"/>
        <v>5</v>
      </c>
      <c r="CV40" s="48">
        <f t="shared" si="69"/>
        <v>1</v>
      </c>
      <c r="CW40" s="89"/>
      <c r="CX40" s="89"/>
      <c r="CY40" s="48"/>
      <c r="CZ40" s="48"/>
      <c r="DA40" s="89"/>
      <c r="DB40" s="89"/>
      <c r="DC40" s="38" t="e">
        <f t="shared" si="70"/>
        <v>#DIV/0!</v>
      </c>
      <c r="DD40" s="48"/>
      <c r="DE40" s="116"/>
      <c r="DF40" s="116"/>
      <c r="DG40" s="89"/>
      <c r="DH40" s="89"/>
      <c r="DI40" s="48"/>
      <c r="DJ40" s="48">
        <f t="shared" si="71"/>
        <v>0</v>
      </c>
      <c r="DK40" s="16" t="s">
        <v>203</v>
      </c>
      <c r="DL40" s="48">
        <f t="shared" si="72"/>
        <v>1</v>
      </c>
      <c r="DM40" s="16" t="s">
        <v>199</v>
      </c>
      <c r="DN40" s="48">
        <f t="shared" si="73"/>
        <v>0.5</v>
      </c>
      <c r="DO40" s="48"/>
      <c r="DP40" s="48"/>
      <c r="DQ40" s="48"/>
      <c r="DR40" s="48"/>
      <c r="DS40" s="48"/>
      <c r="DT40" s="48"/>
      <c r="DU40" s="16" t="s">
        <v>200</v>
      </c>
      <c r="DV40" s="48">
        <f t="shared" si="74"/>
        <v>0.5</v>
      </c>
      <c r="DW40" s="16" t="s">
        <v>201</v>
      </c>
      <c r="DX40" s="48">
        <f t="shared" si="75"/>
        <v>0.5</v>
      </c>
      <c r="DY40" s="16" t="s">
        <v>202</v>
      </c>
      <c r="DZ40" s="48">
        <f t="shared" si="76"/>
        <v>0.5</v>
      </c>
      <c r="EA40" s="16"/>
      <c r="EB40" s="48">
        <f t="shared" si="77"/>
        <v>0</v>
      </c>
      <c r="EC40" s="16" t="s">
        <v>203</v>
      </c>
      <c r="ED40" s="48">
        <f t="shared" si="78"/>
        <v>0.5</v>
      </c>
      <c r="EE40" s="48"/>
      <c r="EF40" s="48"/>
      <c r="EG40" s="73" t="e">
        <f t="shared" si="79"/>
        <v>#DIV/0!</v>
      </c>
    </row>
    <row r="41" spans="1:137" ht="15" hidden="1" x14ac:dyDescent="0.25">
      <c r="A41" s="1" t="s">
        <v>26</v>
      </c>
      <c r="B41" s="13">
        <v>1281.0999999999999</v>
      </c>
      <c r="C41" s="27">
        <v>53788.7</v>
      </c>
      <c r="D41" s="13">
        <v>39689.9</v>
      </c>
      <c r="E41" s="28"/>
      <c r="F41" s="28"/>
      <c r="G41" s="53">
        <f t="shared" si="84"/>
        <v>9.0865889295542901E-2</v>
      </c>
      <c r="H41" s="38" t="s">
        <v>74</v>
      </c>
      <c r="I41" s="69">
        <f>IF(G41&lt;=0.1,1,0)</f>
        <v>1</v>
      </c>
      <c r="J41" s="13">
        <v>6900</v>
      </c>
      <c r="K41" s="14">
        <v>286436.90000000002</v>
      </c>
      <c r="L41" s="70">
        <v>222416.4</v>
      </c>
      <c r="M41" s="29"/>
      <c r="N41" s="54">
        <f t="shared" si="48"/>
        <v>0.1077779773666247</v>
      </c>
      <c r="O41" s="38" t="s">
        <v>77</v>
      </c>
      <c r="P41" s="48">
        <f>IF(N41&lt;=1,1,0)</f>
        <v>1</v>
      </c>
      <c r="Q41" s="13">
        <v>6900</v>
      </c>
      <c r="R41" s="31">
        <v>10000</v>
      </c>
      <c r="S41" s="56">
        <f t="shared" si="83"/>
        <v>0.69</v>
      </c>
      <c r="T41" s="38" t="s">
        <v>77</v>
      </c>
      <c r="U41" s="48">
        <f t="shared" si="49"/>
        <v>1</v>
      </c>
      <c r="V41" s="16">
        <v>15672.2</v>
      </c>
      <c r="W41" s="16">
        <v>16679</v>
      </c>
      <c r="X41" s="56">
        <f t="shared" si="50"/>
        <v>0.93963666886503994</v>
      </c>
      <c r="Y41" s="38" t="s">
        <v>77</v>
      </c>
      <c r="Z41" s="48">
        <f t="shared" si="51"/>
        <v>1</v>
      </c>
      <c r="AA41" s="94"/>
      <c r="AB41" s="94"/>
      <c r="AC41" s="63" t="e">
        <f t="shared" si="52"/>
        <v>#DIV/0!</v>
      </c>
      <c r="AD41" s="38" t="s">
        <v>77</v>
      </c>
      <c r="AE41" s="48" t="e">
        <f t="shared" si="53"/>
        <v>#DIV/0!</v>
      </c>
      <c r="AF41" s="48"/>
      <c r="AG41" s="48"/>
      <c r="AH41" s="48"/>
      <c r="AI41" s="48"/>
      <c r="AJ41" s="48"/>
      <c r="AK41" s="16"/>
      <c r="AL41" s="16"/>
      <c r="AM41" s="64">
        <v>0</v>
      </c>
      <c r="AN41" s="38" t="s">
        <v>86</v>
      </c>
      <c r="AO41" s="48">
        <f t="shared" si="54"/>
        <v>1</v>
      </c>
      <c r="AP41" s="83">
        <v>276.5</v>
      </c>
      <c r="AQ41" s="84">
        <v>25729.200000000001</v>
      </c>
      <c r="AR41" s="57">
        <f t="shared" si="55"/>
        <v>1.0746544781804332E-2</v>
      </c>
      <c r="AS41" s="48">
        <f t="shared" si="56"/>
        <v>-1</v>
      </c>
      <c r="AT41" s="16"/>
      <c r="AU41" s="16">
        <v>38</v>
      </c>
      <c r="AV41" s="56">
        <f t="shared" si="57"/>
        <v>0</v>
      </c>
      <c r="AW41" s="48">
        <f t="shared" si="58"/>
        <v>-1</v>
      </c>
      <c r="AX41" s="83">
        <v>64020.5</v>
      </c>
      <c r="AY41" s="84">
        <v>63772.4</v>
      </c>
      <c r="AZ41" s="56">
        <f t="shared" si="59"/>
        <v>1.0038903977269162</v>
      </c>
      <c r="BA41" s="48">
        <f t="shared" si="60"/>
        <v>1</v>
      </c>
      <c r="BB41" s="48"/>
      <c r="BC41" s="48"/>
      <c r="BD41" s="48"/>
      <c r="BE41" s="48"/>
      <c r="BF41" s="48"/>
      <c r="BG41" s="48"/>
      <c r="BH41" s="96">
        <v>64020.5</v>
      </c>
      <c r="BI41" s="96">
        <v>76593</v>
      </c>
      <c r="BJ41" s="96">
        <v>78337.899999999994</v>
      </c>
      <c r="BK41" s="96">
        <v>61221</v>
      </c>
      <c r="BL41" s="56">
        <f t="shared" si="61"/>
        <v>0.65321849886213035</v>
      </c>
      <c r="BM41" s="48">
        <f t="shared" si="62"/>
        <v>0</v>
      </c>
      <c r="BN41" s="16"/>
      <c r="BO41" s="16"/>
      <c r="BP41" s="30"/>
      <c r="BQ41" s="29"/>
      <c r="BR41" s="66">
        <v>0</v>
      </c>
      <c r="BS41" s="48">
        <f t="shared" si="63"/>
        <v>0</v>
      </c>
      <c r="BT41" s="48"/>
      <c r="BU41" s="48"/>
      <c r="BV41" s="16"/>
      <c r="BW41" s="48">
        <f t="shared" si="64"/>
        <v>0</v>
      </c>
      <c r="BX41" s="16"/>
      <c r="BY41" s="16"/>
      <c r="BZ41" s="16"/>
      <c r="CA41" s="29"/>
      <c r="CB41" s="29" t="e">
        <f t="shared" si="65"/>
        <v>#DIV/0!</v>
      </c>
      <c r="CC41" s="29" t="e">
        <f t="shared" si="66"/>
        <v>#DIV/0!</v>
      </c>
      <c r="CD41" s="29"/>
      <c r="CE41" s="84"/>
      <c r="CF41" s="97"/>
      <c r="CG41" s="97"/>
      <c r="CH41" s="29"/>
      <c r="CI41" s="29"/>
      <c r="CJ41" s="19">
        <v>6900</v>
      </c>
      <c r="CK41" s="94">
        <v>14098.8</v>
      </c>
      <c r="CL41" s="56" t="e">
        <f>(CJ41/CK41)/(#REF!/#REF!)</f>
        <v>#REF!</v>
      </c>
      <c r="CM41" s="80" t="e">
        <f t="shared" si="37"/>
        <v>#REF!</v>
      </c>
      <c r="CN41" s="44"/>
      <c r="CO41" s="48">
        <f t="shared" si="67"/>
        <v>0</v>
      </c>
      <c r="CP41" s="83">
        <v>1</v>
      </c>
      <c r="CQ41" s="83">
        <v>1</v>
      </c>
      <c r="CR41" s="83">
        <v>1</v>
      </c>
      <c r="CS41" s="83">
        <v>1</v>
      </c>
      <c r="CT41" s="83">
        <v>1</v>
      </c>
      <c r="CU41" s="38">
        <f t="shared" si="68"/>
        <v>5</v>
      </c>
      <c r="CV41" s="48">
        <f t="shared" si="69"/>
        <v>1</v>
      </c>
      <c r="CW41" s="89"/>
      <c r="CX41" s="89"/>
      <c r="CY41" s="48"/>
      <c r="CZ41" s="48"/>
      <c r="DA41" s="89"/>
      <c r="DB41" s="89"/>
      <c r="DC41" s="38" t="e">
        <f t="shared" si="70"/>
        <v>#DIV/0!</v>
      </c>
      <c r="DD41" s="48"/>
      <c r="DE41" s="116"/>
      <c r="DF41" s="116"/>
      <c r="DG41" s="89"/>
      <c r="DH41" s="89"/>
      <c r="DI41" s="48"/>
      <c r="DJ41" s="48">
        <f t="shared" si="71"/>
        <v>0</v>
      </c>
      <c r="DK41" s="16" t="s">
        <v>150</v>
      </c>
      <c r="DL41" s="48">
        <f t="shared" si="72"/>
        <v>1</v>
      </c>
      <c r="DM41" s="16" t="s">
        <v>151</v>
      </c>
      <c r="DN41" s="48">
        <f t="shared" si="73"/>
        <v>0.5</v>
      </c>
      <c r="DO41" s="48"/>
      <c r="DP41" s="48"/>
      <c r="DQ41" s="48"/>
      <c r="DR41" s="48"/>
      <c r="DS41" s="48"/>
      <c r="DT41" s="48"/>
      <c r="DU41" s="16" t="s">
        <v>152</v>
      </c>
      <c r="DV41" s="48">
        <f t="shared" si="74"/>
        <v>0.5</v>
      </c>
      <c r="DW41" s="16" t="s">
        <v>153</v>
      </c>
      <c r="DX41" s="48">
        <f t="shared" si="75"/>
        <v>0.5</v>
      </c>
      <c r="DY41" s="16" t="s">
        <v>154</v>
      </c>
      <c r="DZ41" s="48">
        <f t="shared" si="76"/>
        <v>0.5</v>
      </c>
      <c r="EA41" s="16"/>
      <c r="EB41" s="48">
        <f t="shared" si="77"/>
        <v>0</v>
      </c>
      <c r="EC41" s="16"/>
      <c r="ED41" s="48">
        <f t="shared" si="78"/>
        <v>0</v>
      </c>
      <c r="EE41" s="48"/>
      <c r="EF41" s="48"/>
      <c r="EG41" s="73" t="e">
        <f t="shared" si="79"/>
        <v>#DIV/0!</v>
      </c>
    </row>
    <row r="42" spans="1:137" ht="15" hidden="1" x14ac:dyDescent="0.25">
      <c r="A42" s="1" t="s">
        <v>27</v>
      </c>
      <c r="B42" s="13">
        <v>141.5</v>
      </c>
      <c r="C42" s="27">
        <v>68270.899999999994</v>
      </c>
      <c r="D42" s="13">
        <v>50088.9</v>
      </c>
      <c r="E42" s="28"/>
      <c r="F42" s="28"/>
      <c r="G42" s="53">
        <f t="shared" si="84"/>
        <v>7.782422175778245E-3</v>
      </c>
      <c r="H42" s="38" t="s">
        <v>74</v>
      </c>
      <c r="I42" s="69">
        <f>IF(G42&lt;=0.1,1,0)</f>
        <v>1</v>
      </c>
      <c r="J42" s="13"/>
      <c r="K42" s="14">
        <v>323957.8</v>
      </c>
      <c r="L42" s="70">
        <v>255031.4</v>
      </c>
      <c r="M42" s="29"/>
      <c r="N42" s="54">
        <f t="shared" si="48"/>
        <v>0</v>
      </c>
      <c r="O42" s="38" t="s">
        <v>77</v>
      </c>
      <c r="P42" s="48">
        <f>IF(N42&lt;=1,1,0)</f>
        <v>1</v>
      </c>
      <c r="Q42" s="13"/>
      <c r="R42" s="31">
        <v>5146.2</v>
      </c>
      <c r="S42" s="56">
        <f t="shared" si="83"/>
        <v>0</v>
      </c>
      <c r="T42" s="38" t="s">
        <v>77</v>
      </c>
      <c r="U42" s="48">
        <f t="shared" si="49"/>
        <v>1</v>
      </c>
      <c r="V42" s="16">
        <v>14710.4</v>
      </c>
      <c r="W42" s="16">
        <v>17404</v>
      </c>
      <c r="X42" s="56">
        <f t="shared" si="50"/>
        <v>0.84523098138358999</v>
      </c>
      <c r="Y42" s="38" t="s">
        <v>77</v>
      </c>
      <c r="Z42" s="48">
        <f t="shared" si="51"/>
        <v>1</v>
      </c>
      <c r="AA42" s="94"/>
      <c r="AB42" s="94"/>
      <c r="AC42" s="63" t="e">
        <f t="shared" si="52"/>
        <v>#DIV/0!</v>
      </c>
      <c r="AD42" s="38" t="s">
        <v>77</v>
      </c>
      <c r="AE42" s="48" t="e">
        <f t="shared" si="53"/>
        <v>#DIV/0!</v>
      </c>
      <c r="AF42" s="48"/>
      <c r="AG42" s="48"/>
      <c r="AH42" s="48"/>
      <c r="AI42" s="48"/>
      <c r="AJ42" s="48"/>
      <c r="AK42" s="16"/>
      <c r="AL42" s="16"/>
      <c r="AM42" s="64">
        <v>0</v>
      </c>
      <c r="AN42" s="38" t="s">
        <v>86</v>
      </c>
      <c r="AO42" s="48">
        <f t="shared" si="54"/>
        <v>1</v>
      </c>
      <c r="AP42" s="83">
        <v>90.2</v>
      </c>
      <c r="AQ42" s="84">
        <v>32971.4</v>
      </c>
      <c r="AR42" s="57">
        <f t="shared" si="55"/>
        <v>2.7357042770401012E-3</v>
      </c>
      <c r="AS42" s="48">
        <f t="shared" si="56"/>
        <v>-1</v>
      </c>
      <c r="AT42" s="16"/>
      <c r="AU42" s="16">
        <v>43</v>
      </c>
      <c r="AV42" s="56">
        <f t="shared" si="57"/>
        <v>0</v>
      </c>
      <c r="AW42" s="48">
        <f t="shared" si="58"/>
        <v>-1</v>
      </c>
      <c r="AX42" s="83">
        <v>68926.399999999994</v>
      </c>
      <c r="AY42" s="83">
        <v>69205.899999999994</v>
      </c>
      <c r="AZ42" s="56">
        <f t="shared" si="59"/>
        <v>0.99596132699668671</v>
      </c>
      <c r="BA42" s="48">
        <f t="shared" si="60"/>
        <v>1</v>
      </c>
      <c r="BB42" s="48"/>
      <c r="BC42" s="48"/>
      <c r="BD42" s="48"/>
      <c r="BE42" s="48"/>
      <c r="BF42" s="48"/>
      <c r="BG42" s="48"/>
      <c r="BH42" s="96">
        <v>68926.399999999994</v>
      </c>
      <c r="BI42" s="96">
        <v>78991</v>
      </c>
      <c r="BJ42" s="96">
        <v>67132.5</v>
      </c>
      <c r="BK42" s="96">
        <v>67487</v>
      </c>
      <c r="BL42" s="56">
        <f t="shared" si="61"/>
        <v>0.87719326089757022</v>
      </c>
      <c r="BM42" s="48">
        <f t="shared" si="62"/>
        <v>0</v>
      </c>
      <c r="BN42" s="16"/>
      <c r="BO42" s="16"/>
      <c r="BP42" s="30"/>
      <c r="BQ42" s="29"/>
      <c r="BR42" s="66">
        <v>0</v>
      </c>
      <c r="BS42" s="48">
        <f t="shared" si="63"/>
        <v>0</v>
      </c>
      <c r="BT42" s="48"/>
      <c r="BU42" s="48"/>
      <c r="BV42" s="16"/>
      <c r="BW42" s="48">
        <f t="shared" si="64"/>
        <v>0</v>
      </c>
      <c r="BX42" s="16"/>
      <c r="BY42" s="16"/>
      <c r="BZ42" s="16"/>
      <c r="CA42" s="29"/>
      <c r="CB42" s="29" t="e">
        <f t="shared" si="65"/>
        <v>#DIV/0!</v>
      </c>
      <c r="CC42" s="29" t="e">
        <f t="shared" si="66"/>
        <v>#DIV/0!</v>
      </c>
      <c r="CD42" s="29"/>
      <c r="CE42" s="84"/>
      <c r="CF42" s="97"/>
      <c r="CG42" s="97"/>
      <c r="CH42" s="29"/>
      <c r="CI42" s="29"/>
      <c r="CJ42" s="19"/>
      <c r="CK42" s="94">
        <v>18182</v>
      </c>
      <c r="CL42" s="56" t="e">
        <f>(CJ42/CK42)/(#REF!/#REF!)</f>
        <v>#REF!</v>
      </c>
      <c r="CM42" s="80" t="e">
        <f t="shared" si="37"/>
        <v>#REF!</v>
      </c>
      <c r="CN42" s="44"/>
      <c r="CO42" s="48">
        <f t="shared" si="67"/>
        <v>0</v>
      </c>
      <c r="CP42" s="83">
        <v>1</v>
      </c>
      <c r="CQ42" s="83">
        <v>1</v>
      </c>
      <c r="CR42" s="83"/>
      <c r="CS42" s="83"/>
      <c r="CT42" s="83"/>
      <c r="CU42" s="38">
        <f t="shared" si="68"/>
        <v>2</v>
      </c>
      <c r="CV42" s="48">
        <f t="shared" si="69"/>
        <v>0</v>
      </c>
      <c r="CW42" s="89"/>
      <c r="CX42" s="89"/>
      <c r="CY42" s="48"/>
      <c r="CZ42" s="48"/>
      <c r="DA42" s="89"/>
      <c r="DB42" s="89"/>
      <c r="DC42" s="38" t="e">
        <f t="shared" si="70"/>
        <v>#DIV/0!</v>
      </c>
      <c r="DD42" s="48"/>
      <c r="DE42" s="116"/>
      <c r="DF42" s="116"/>
      <c r="DG42" s="89"/>
      <c r="DH42" s="89"/>
      <c r="DI42" s="48"/>
      <c r="DJ42" s="48">
        <f t="shared" si="71"/>
        <v>0</v>
      </c>
      <c r="DK42" s="16"/>
      <c r="DL42" s="48">
        <f t="shared" si="72"/>
        <v>0</v>
      </c>
      <c r="DM42" s="16"/>
      <c r="DN42" s="48">
        <f t="shared" si="73"/>
        <v>0</v>
      </c>
      <c r="DO42" s="48"/>
      <c r="DP42" s="48"/>
      <c r="DQ42" s="48"/>
      <c r="DR42" s="48"/>
      <c r="DS42" s="48"/>
      <c r="DT42" s="48"/>
      <c r="DU42" s="16" t="s">
        <v>103</v>
      </c>
      <c r="DV42" s="48">
        <f t="shared" si="74"/>
        <v>0.5</v>
      </c>
      <c r="DW42" s="16" t="s">
        <v>104</v>
      </c>
      <c r="DX42" s="48">
        <f t="shared" si="75"/>
        <v>0.5</v>
      </c>
      <c r="DY42" s="16" t="s">
        <v>105</v>
      </c>
      <c r="DZ42" s="48">
        <f t="shared" si="76"/>
        <v>0.5</v>
      </c>
      <c r="EA42" s="16"/>
      <c r="EB42" s="48">
        <f t="shared" si="77"/>
        <v>0</v>
      </c>
      <c r="EC42" s="16"/>
      <c r="ED42" s="48">
        <f t="shared" si="78"/>
        <v>0</v>
      </c>
      <c r="EE42" s="48"/>
      <c r="EF42" s="48"/>
      <c r="EG42" s="73" t="e">
        <f t="shared" si="79"/>
        <v>#DIV/0!</v>
      </c>
    </row>
    <row r="43" spans="1:137" ht="15" hidden="1" x14ac:dyDescent="0.25">
      <c r="A43" s="1" t="s">
        <v>28</v>
      </c>
      <c r="B43" s="13"/>
      <c r="C43" s="27">
        <v>35201.800000000003</v>
      </c>
      <c r="D43" s="13">
        <v>30585.5</v>
      </c>
      <c r="E43" s="28"/>
      <c r="F43" s="28"/>
      <c r="G43" s="53">
        <f t="shared" si="84"/>
        <v>0</v>
      </c>
      <c r="H43" s="38" t="s">
        <v>73</v>
      </c>
      <c r="I43" s="69">
        <f>IF(G43&lt;=0.05,1,0)</f>
        <v>1</v>
      </c>
      <c r="J43" s="13"/>
      <c r="K43" s="14">
        <v>168731.9</v>
      </c>
      <c r="L43" s="70">
        <v>138933.79999999999</v>
      </c>
      <c r="M43" s="29"/>
      <c r="N43" s="54">
        <f t="shared" si="48"/>
        <v>0</v>
      </c>
      <c r="O43" s="38" t="s">
        <v>76</v>
      </c>
      <c r="P43" s="48">
        <f>IF(N43&lt;=0.5,1,0)</f>
        <v>1</v>
      </c>
      <c r="Q43" s="13"/>
      <c r="R43" s="31">
        <v>0</v>
      </c>
      <c r="S43" s="56">
        <v>0</v>
      </c>
      <c r="T43" s="38" t="s">
        <v>77</v>
      </c>
      <c r="U43" s="48">
        <f t="shared" si="49"/>
        <v>1</v>
      </c>
      <c r="V43" s="16">
        <v>16482.900000000001</v>
      </c>
      <c r="W43" s="16">
        <v>16483</v>
      </c>
      <c r="X43" s="56">
        <f t="shared" si="50"/>
        <v>0.99999393314323859</v>
      </c>
      <c r="Y43" s="38" t="s">
        <v>77</v>
      </c>
      <c r="Z43" s="48">
        <f t="shared" si="51"/>
        <v>1</v>
      </c>
      <c r="AA43" s="94"/>
      <c r="AB43" s="94"/>
      <c r="AC43" s="63" t="e">
        <f t="shared" si="52"/>
        <v>#DIV/0!</v>
      </c>
      <c r="AD43" s="38" t="s">
        <v>77</v>
      </c>
      <c r="AE43" s="48" t="e">
        <f t="shared" si="53"/>
        <v>#DIV/0!</v>
      </c>
      <c r="AF43" s="48"/>
      <c r="AG43" s="48"/>
      <c r="AH43" s="48"/>
      <c r="AI43" s="48"/>
      <c r="AJ43" s="48"/>
      <c r="AK43" s="16"/>
      <c r="AL43" s="16"/>
      <c r="AM43" s="64">
        <v>0</v>
      </c>
      <c r="AN43" s="38" t="s">
        <v>86</v>
      </c>
      <c r="AO43" s="48">
        <f t="shared" si="54"/>
        <v>1</v>
      </c>
      <c r="AP43" s="83">
        <v>2228.5</v>
      </c>
      <c r="AQ43" s="84">
        <v>27428.400000000001</v>
      </c>
      <c r="AR43" s="57">
        <f t="shared" si="55"/>
        <v>8.1247903632731031E-2</v>
      </c>
      <c r="AS43" s="48">
        <f t="shared" si="56"/>
        <v>-1</v>
      </c>
      <c r="AT43" s="16"/>
      <c r="AU43" s="16">
        <v>13</v>
      </c>
      <c r="AV43" s="56">
        <f t="shared" si="57"/>
        <v>0</v>
      </c>
      <c r="AW43" s="48">
        <f t="shared" si="58"/>
        <v>-1</v>
      </c>
      <c r="AX43" s="83">
        <v>29798.1</v>
      </c>
      <c r="AY43" s="83">
        <v>30901.7</v>
      </c>
      <c r="AZ43" s="56">
        <f t="shared" si="59"/>
        <v>0.96428675445040235</v>
      </c>
      <c r="BA43" s="48">
        <f t="shared" si="60"/>
        <v>1</v>
      </c>
      <c r="BB43" s="48"/>
      <c r="BC43" s="48"/>
      <c r="BD43" s="48"/>
      <c r="BE43" s="48"/>
      <c r="BF43" s="48"/>
      <c r="BG43" s="48"/>
      <c r="BH43" s="96">
        <v>29798.1</v>
      </c>
      <c r="BI43" s="96">
        <v>11155</v>
      </c>
      <c r="BJ43" s="96">
        <v>23009.5</v>
      </c>
      <c r="BK43" s="96">
        <v>34977</v>
      </c>
      <c r="BL43" s="56">
        <f t="shared" si="61"/>
        <v>4.0606389322033678</v>
      </c>
      <c r="BM43" s="48">
        <f t="shared" si="62"/>
        <v>1</v>
      </c>
      <c r="BN43" s="16"/>
      <c r="BO43" s="16"/>
      <c r="BP43" s="30"/>
      <c r="BQ43" s="29"/>
      <c r="BR43" s="66">
        <v>0</v>
      </c>
      <c r="BS43" s="48">
        <f t="shared" si="63"/>
        <v>0</v>
      </c>
      <c r="BT43" s="48"/>
      <c r="BU43" s="48"/>
      <c r="BV43" s="16"/>
      <c r="BW43" s="48">
        <f t="shared" si="64"/>
        <v>0</v>
      </c>
      <c r="BX43" s="16"/>
      <c r="BY43" s="16"/>
      <c r="BZ43" s="16"/>
      <c r="CA43" s="29"/>
      <c r="CB43" s="29" t="e">
        <f t="shared" si="65"/>
        <v>#DIV/0!</v>
      </c>
      <c r="CC43" s="29" t="e">
        <f t="shared" si="66"/>
        <v>#DIV/0!</v>
      </c>
      <c r="CD43" s="29"/>
      <c r="CE43" s="84"/>
      <c r="CF43" s="97"/>
      <c r="CG43" s="97"/>
      <c r="CH43" s="29"/>
      <c r="CI43" s="29"/>
      <c r="CJ43" s="19"/>
      <c r="CK43" s="94">
        <v>4616.3</v>
      </c>
      <c r="CL43" s="56">
        <v>0</v>
      </c>
      <c r="CM43" s="80">
        <f t="shared" si="37"/>
        <v>1</v>
      </c>
      <c r="CN43" s="44">
        <v>1</v>
      </c>
      <c r="CO43" s="48">
        <f t="shared" si="67"/>
        <v>-1</v>
      </c>
      <c r="CP43" s="83">
        <v>1</v>
      </c>
      <c r="CQ43" s="83">
        <v>1</v>
      </c>
      <c r="CR43" s="83">
        <v>1</v>
      </c>
      <c r="CS43" s="83"/>
      <c r="CT43" s="83"/>
      <c r="CU43" s="38">
        <f t="shared" si="68"/>
        <v>3</v>
      </c>
      <c r="CV43" s="48">
        <f t="shared" si="69"/>
        <v>0</v>
      </c>
      <c r="CW43" s="89"/>
      <c r="CX43" s="89"/>
      <c r="CY43" s="48"/>
      <c r="CZ43" s="48"/>
      <c r="DA43" s="89"/>
      <c r="DB43" s="89"/>
      <c r="DC43" s="38" t="e">
        <f t="shared" si="70"/>
        <v>#DIV/0!</v>
      </c>
      <c r="DD43" s="48"/>
      <c r="DE43" s="116"/>
      <c r="DF43" s="116"/>
      <c r="DG43" s="89"/>
      <c r="DH43" s="89"/>
      <c r="DI43" s="48"/>
      <c r="DJ43" s="48">
        <f t="shared" si="71"/>
        <v>0</v>
      </c>
      <c r="DK43" s="16"/>
      <c r="DL43" s="48">
        <v>1</v>
      </c>
      <c r="DM43" s="16"/>
      <c r="DN43" s="48">
        <f t="shared" si="73"/>
        <v>0</v>
      </c>
      <c r="DO43" s="48"/>
      <c r="DP43" s="48"/>
      <c r="DQ43" s="48"/>
      <c r="DR43" s="48"/>
      <c r="DS43" s="48"/>
      <c r="DT43" s="48"/>
      <c r="DU43" s="16"/>
      <c r="DV43" s="48">
        <f t="shared" si="74"/>
        <v>0</v>
      </c>
      <c r="DW43" s="16" t="s">
        <v>173</v>
      </c>
      <c r="DX43" s="48">
        <f t="shared" si="75"/>
        <v>0.5</v>
      </c>
      <c r="DY43" s="16" t="s">
        <v>174</v>
      </c>
      <c r="DZ43" s="48">
        <f t="shared" si="76"/>
        <v>0.5</v>
      </c>
      <c r="EA43" s="16"/>
      <c r="EB43" s="48">
        <f t="shared" si="77"/>
        <v>0</v>
      </c>
      <c r="EC43" s="16"/>
      <c r="ED43" s="48">
        <f t="shared" si="78"/>
        <v>0</v>
      </c>
      <c r="EE43" s="48"/>
      <c r="EF43" s="48"/>
      <c r="EG43" s="73" t="e">
        <f t="shared" si="79"/>
        <v>#DIV/0!</v>
      </c>
    </row>
    <row r="44" spans="1:137" ht="15" hidden="1" x14ac:dyDescent="0.25">
      <c r="A44" s="1" t="s">
        <v>29</v>
      </c>
      <c r="B44" s="13"/>
      <c r="C44" s="27">
        <v>88569.3</v>
      </c>
      <c r="D44" s="13">
        <v>46747.7</v>
      </c>
      <c r="E44" s="28"/>
      <c r="F44" s="28"/>
      <c r="G44" s="53">
        <f t="shared" si="84"/>
        <v>0</v>
      </c>
      <c r="H44" s="38" t="s">
        <v>74</v>
      </c>
      <c r="I44" s="69">
        <f>IF(G44&lt;=0.1,1,0)</f>
        <v>1</v>
      </c>
      <c r="J44" s="13">
        <v>4365</v>
      </c>
      <c r="K44" s="14">
        <v>371537.6</v>
      </c>
      <c r="L44" s="70">
        <v>193391.6</v>
      </c>
      <c r="M44" s="29"/>
      <c r="N44" s="54">
        <f t="shared" si="48"/>
        <v>2.4502374456906138E-2</v>
      </c>
      <c r="O44" s="38" t="s">
        <v>77</v>
      </c>
      <c r="P44" s="48">
        <f>IF(N44&lt;=1,1,0)</f>
        <v>1</v>
      </c>
      <c r="Q44" s="13">
        <v>4365</v>
      </c>
      <c r="R44" s="31">
        <v>6050</v>
      </c>
      <c r="S44" s="56">
        <f>Q44/R44</f>
        <v>0.7214876033057851</v>
      </c>
      <c r="T44" s="38" t="s">
        <v>77</v>
      </c>
      <c r="U44" s="48">
        <f t="shared" si="49"/>
        <v>1</v>
      </c>
      <c r="V44" s="16">
        <v>16344</v>
      </c>
      <c r="W44" s="16">
        <v>19570</v>
      </c>
      <c r="X44" s="56">
        <f t="shared" si="50"/>
        <v>0.83515585079202859</v>
      </c>
      <c r="Y44" s="38" t="s">
        <v>77</v>
      </c>
      <c r="Z44" s="48">
        <f t="shared" si="51"/>
        <v>1</v>
      </c>
      <c r="AA44" s="94"/>
      <c r="AB44" s="94"/>
      <c r="AC44" s="63" t="e">
        <f t="shared" si="52"/>
        <v>#DIV/0!</v>
      </c>
      <c r="AD44" s="38" t="s">
        <v>77</v>
      </c>
      <c r="AE44" s="48" t="e">
        <f t="shared" si="53"/>
        <v>#DIV/0!</v>
      </c>
      <c r="AF44" s="48"/>
      <c r="AG44" s="48"/>
      <c r="AH44" s="48"/>
      <c r="AI44" s="48"/>
      <c r="AJ44" s="48"/>
      <c r="AK44" s="16"/>
      <c r="AL44" s="16"/>
      <c r="AM44" s="64">
        <v>0</v>
      </c>
      <c r="AN44" s="38" t="s">
        <v>86</v>
      </c>
      <c r="AO44" s="48">
        <f t="shared" si="54"/>
        <v>1</v>
      </c>
      <c r="AP44" s="83">
        <v>496</v>
      </c>
      <c r="AQ44" s="84">
        <v>52973</v>
      </c>
      <c r="AR44" s="57">
        <f t="shared" si="55"/>
        <v>9.3632605289487095E-3</v>
      </c>
      <c r="AS44" s="48">
        <f t="shared" si="56"/>
        <v>-1</v>
      </c>
      <c r="AT44" s="16">
        <v>1</v>
      </c>
      <c r="AU44" s="16">
        <v>38</v>
      </c>
      <c r="AV44" s="56">
        <f t="shared" si="57"/>
        <v>2.6315789473684209E-2</v>
      </c>
      <c r="AW44" s="48">
        <f t="shared" si="58"/>
        <v>-1</v>
      </c>
      <c r="AX44" s="83">
        <v>178146</v>
      </c>
      <c r="AY44" s="83">
        <v>178146</v>
      </c>
      <c r="AZ44" s="56">
        <f t="shared" si="59"/>
        <v>1</v>
      </c>
      <c r="BA44" s="48">
        <f t="shared" si="60"/>
        <v>1</v>
      </c>
      <c r="BB44" s="48"/>
      <c r="BC44" s="48"/>
      <c r="BD44" s="48"/>
      <c r="BE44" s="48"/>
      <c r="BF44" s="48"/>
      <c r="BG44" s="48"/>
      <c r="BH44" s="96">
        <v>178146</v>
      </c>
      <c r="BI44" s="96">
        <v>57255</v>
      </c>
      <c r="BJ44" s="96">
        <v>206874</v>
      </c>
      <c r="BK44" s="99">
        <v>54169</v>
      </c>
      <c r="BL44" s="56">
        <f t="shared" si="61"/>
        <v>0.81471847143416176</v>
      </c>
      <c r="BM44" s="48">
        <f t="shared" si="62"/>
        <v>0</v>
      </c>
      <c r="BN44" s="16"/>
      <c r="BO44" s="16"/>
      <c r="BP44" s="30"/>
      <c r="BQ44" s="29"/>
      <c r="BR44" s="66">
        <v>0</v>
      </c>
      <c r="BS44" s="48">
        <f t="shared" si="63"/>
        <v>0</v>
      </c>
      <c r="BT44" s="48"/>
      <c r="BU44" s="48"/>
      <c r="BV44" s="16"/>
      <c r="BW44" s="48">
        <f t="shared" si="64"/>
        <v>0</v>
      </c>
      <c r="BX44" s="16"/>
      <c r="BY44" s="16"/>
      <c r="BZ44" s="16"/>
      <c r="CA44" s="29"/>
      <c r="CB44" s="29" t="e">
        <f t="shared" si="65"/>
        <v>#DIV/0!</v>
      </c>
      <c r="CC44" s="29" t="e">
        <f t="shared" si="66"/>
        <v>#DIV/0!</v>
      </c>
      <c r="CD44" s="29"/>
      <c r="CE44" s="84"/>
      <c r="CF44" s="97"/>
      <c r="CG44" s="97"/>
      <c r="CH44" s="29"/>
      <c r="CI44" s="29"/>
      <c r="CJ44" s="19">
        <v>4365</v>
      </c>
      <c r="CK44" s="94">
        <v>41821.599999999999</v>
      </c>
      <c r="CL44" s="56" t="s">
        <v>222</v>
      </c>
      <c r="CM44" s="80">
        <f t="shared" si="37"/>
        <v>0</v>
      </c>
      <c r="CN44" s="44"/>
      <c r="CO44" s="48">
        <f t="shared" si="67"/>
        <v>0</v>
      </c>
      <c r="CP44" s="83">
        <v>1</v>
      </c>
      <c r="CQ44" s="83">
        <v>1</v>
      </c>
      <c r="CR44" s="83">
        <v>1</v>
      </c>
      <c r="CS44" s="83">
        <v>1</v>
      </c>
      <c r="CT44" s="83">
        <v>1</v>
      </c>
      <c r="CU44" s="38">
        <f t="shared" si="68"/>
        <v>5</v>
      </c>
      <c r="CV44" s="48">
        <f t="shared" si="69"/>
        <v>1</v>
      </c>
      <c r="CW44" s="89"/>
      <c r="CX44" s="89"/>
      <c r="CY44" s="48"/>
      <c r="CZ44" s="48"/>
      <c r="DA44" s="89"/>
      <c r="DB44" s="89"/>
      <c r="DC44" s="38" t="e">
        <f t="shared" si="70"/>
        <v>#DIV/0!</v>
      </c>
      <c r="DD44" s="48"/>
      <c r="DE44" s="116"/>
      <c r="DF44" s="116"/>
      <c r="DG44" s="89"/>
      <c r="DH44" s="89"/>
      <c r="DI44" s="48"/>
      <c r="DJ44" s="48">
        <f t="shared" si="71"/>
        <v>0</v>
      </c>
      <c r="DK44" s="16"/>
      <c r="DL44" s="48">
        <v>1</v>
      </c>
      <c r="DM44" s="16" t="s">
        <v>155</v>
      </c>
      <c r="DN44" s="48">
        <f t="shared" si="73"/>
        <v>0.5</v>
      </c>
      <c r="DO44" s="48"/>
      <c r="DP44" s="48"/>
      <c r="DQ44" s="48"/>
      <c r="DR44" s="48"/>
      <c r="DS44" s="48"/>
      <c r="DT44" s="48"/>
      <c r="DU44" s="16" t="s">
        <v>156</v>
      </c>
      <c r="DV44" s="48">
        <f t="shared" si="74"/>
        <v>0.5</v>
      </c>
      <c r="DW44" s="16" t="s">
        <v>156</v>
      </c>
      <c r="DX44" s="48">
        <f t="shared" si="75"/>
        <v>0.5</v>
      </c>
      <c r="DY44" s="16" t="s">
        <v>157</v>
      </c>
      <c r="DZ44" s="48">
        <f t="shared" si="76"/>
        <v>0.5</v>
      </c>
      <c r="EA44" s="16"/>
      <c r="EB44" s="48">
        <f t="shared" si="77"/>
        <v>0</v>
      </c>
      <c r="EC44" s="16"/>
      <c r="ED44" s="48">
        <f t="shared" si="78"/>
        <v>0</v>
      </c>
      <c r="EE44" s="48"/>
      <c r="EF44" s="48"/>
      <c r="EG44" s="73" t="e">
        <f t="shared" si="79"/>
        <v>#DIV/0!</v>
      </c>
    </row>
    <row r="45" spans="1:137" ht="15" hidden="1" customHeight="1" x14ac:dyDescent="0.25">
      <c r="A45" s="1" t="s">
        <v>30</v>
      </c>
      <c r="B45" s="13"/>
      <c r="C45" s="27">
        <v>170280.7</v>
      </c>
      <c r="D45" s="13">
        <v>50544.2</v>
      </c>
      <c r="E45" s="28"/>
      <c r="F45" s="28"/>
      <c r="G45" s="53">
        <f t="shared" si="84"/>
        <v>0</v>
      </c>
      <c r="H45" s="38" t="s">
        <v>74</v>
      </c>
      <c r="I45" s="69">
        <f>IF(G45&lt;=0.1,1,0)</f>
        <v>1</v>
      </c>
      <c r="J45" s="13">
        <v>31569.49</v>
      </c>
      <c r="K45" s="14">
        <v>876568.4</v>
      </c>
      <c r="L45" s="70">
        <v>323835.5</v>
      </c>
      <c r="M45" s="29"/>
      <c r="N45" s="54">
        <f t="shared" si="48"/>
        <v>5.7115272132344574E-2</v>
      </c>
      <c r="O45" s="38" t="s">
        <v>77</v>
      </c>
      <c r="P45" s="48">
        <f>IF(N45&lt;=1,1,0)</f>
        <v>1</v>
      </c>
      <c r="Q45" s="13">
        <v>31569.49</v>
      </c>
      <c r="R45" s="31">
        <v>73000</v>
      </c>
      <c r="S45" s="56">
        <f>Q45/R45</f>
        <v>0.43245876712328768</v>
      </c>
      <c r="T45" s="38" t="s">
        <v>77</v>
      </c>
      <c r="U45" s="48">
        <f t="shared" si="49"/>
        <v>1</v>
      </c>
      <c r="V45" s="16">
        <v>41509</v>
      </c>
      <c r="W45" s="16">
        <v>41509</v>
      </c>
      <c r="X45" s="56">
        <f t="shared" si="50"/>
        <v>1</v>
      </c>
      <c r="Y45" s="38" t="s">
        <v>77</v>
      </c>
      <c r="Z45" s="48">
        <f t="shared" si="51"/>
        <v>1</v>
      </c>
      <c r="AA45" s="94"/>
      <c r="AB45" s="94"/>
      <c r="AC45" s="63" t="e">
        <f t="shared" si="52"/>
        <v>#DIV/0!</v>
      </c>
      <c r="AD45" s="38" t="s">
        <v>77</v>
      </c>
      <c r="AE45" s="48" t="e">
        <f t="shared" si="53"/>
        <v>#DIV/0!</v>
      </c>
      <c r="AF45" s="48"/>
      <c r="AG45" s="48"/>
      <c r="AH45" s="48"/>
      <c r="AI45" s="48"/>
      <c r="AJ45" s="48"/>
      <c r="AK45" s="16"/>
      <c r="AL45" s="15">
        <v>2569.4859999999999</v>
      </c>
      <c r="AM45" s="64">
        <f>AK45/AL45</f>
        <v>0</v>
      </c>
      <c r="AN45" s="38" t="s">
        <v>86</v>
      </c>
      <c r="AO45" s="48">
        <f t="shared" si="54"/>
        <v>1</v>
      </c>
      <c r="AP45" s="83">
        <v>2147.6999999999998</v>
      </c>
      <c r="AQ45" s="84">
        <v>117277.4</v>
      </c>
      <c r="AR45" s="57">
        <f t="shared" si="55"/>
        <v>1.8312991249806013E-2</v>
      </c>
      <c r="AS45" s="48">
        <f t="shared" si="56"/>
        <v>-1</v>
      </c>
      <c r="AT45" s="16">
        <v>2</v>
      </c>
      <c r="AU45" s="16">
        <v>60</v>
      </c>
      <c r="AV45" s="56">
        <f t="shared" si="57"/>
        <v>3.3333333333333333E-2</v>
      </c>
      <c r="AW45" s="48">
        <f t="shared" si="58"/>
        <v>-1</v>
      </c>
      <c r="AX45" s="83">
        <v>552732.9</v>
      </c>
      <c r="AY45" s="83">
        <v>552732.9</v>
      </c>
      <c r="AZ45" s="56">
        <f t="shared" si="59"/>
        <v>1</v>
      </c>
      <c r="BA45" s="48">
        <f t="shared" si="60"/>
        <v>1</v>
      </c>
      <c r="BB45" s="48"/>
      <c r="BC45" s="48"/>
      <c r="BD45" s="48"/>
      <c r="BE45" s="48"/>
      <c r="BF45" s="48"/>
      <c r="BG45" s="48"/>
      <c r="BH45" s="96">
        <v>552732.9</v>
      </c>
      <c r="BI45" s="96">
        <v>1236</v>
      </c>
      <c r="BJ45" s="96">
        <v>611539</v>
      </c>
      <c r="BK45" s="96">
        <v>3245</v>
      </c>
      <c r="BL45" s="56">
        <f t="shared" si="61"/>
        <v>2.3729434426119287</v>
      </c>
      <c r="BM45" s="48">
        <f t="shared" si="62"/>
        <v>1</v>
      </c>
      <c r="BN45" s="16"/>
      <c r="BO45" s="16"/>
      <c r="BP45" s="17"/>
      <c r="BQ45" s="29"/>
      <c r="BR45" s="66">
        <v>0</v>
      </c>
      <c r="BS45" s="48">
        <f t="shared" si="63"/>
        <v>0</v>
      </c>
      <c r="BT45" s="48"/>
      <c r="BU45" s="48"/>
      <c r="BV45" s="16"/>
      <c r="BW45" s="48">
        <f t="shared" si="64"/>
        <v>0</v>
      </c>
      <c r="BX45" s="16"/>
      <c r="BY45" s="16"/>
      <c r="BZ45" s="16"/>
      <c r="CA45" s="29"/>
      <c r="CB45" s="29" t="e">
        <f t="shared" si="65"/>
        <v>#DIV/0!</v>
      </c>
      <c r="CC45" s="29" t="e">
        <f t="shared" si="66"/>
        <v>#DIV/0!</v>
      </c>
      <c r="CD45" s="29"/>
      <c r="CE45" s="84"/>
      <c r="CF45" s="97"/>
      <c r="CG45" s="97"/>
      <c r="CH45" s="29"/>
      <c r="CI45" s="29"/>
      <c r="CJ45" s="19">
        <v>31569.49</v>
      </c>
      <c r="CK45" s="94">
        <v>119736.5</v>
      </c>
      <c r="CL45" s="56" t="s">
        <v>222</v>
      </c>
      <c r="CM45" s="80">
        <f t="shared" si="37"/>
        <v>0</v>
      </c>
      <c r="CN45" s="44"/>
      <c r="CO45" s="48">
        <f t="shared" si="67"/>
        <v>0</v>
      </c>
      <c r="CP45" s="83">
        <v>1</v>
      </c>
      <c r="CQ45" s="83">
        <v>1</v>
      </c>
      <c r="CR45" s="83"/>
      <c r="CS45" s="83"/>
      <c r="CT45" s="83"/>
      <c r="CU45" s="38">
        <f t="shared" si="68"/>
        <v>2</v>
      </c>
      <c r="CV45" s="48">
        <f t="shared" si="69"/>
        <v>0</v>
      </c>
      <c r="CW45" s="89"/>
      <c r="CX45" s="89"/>
      <c r="CY45" s="48"/>
      <c r="CZ45" s="48"/>
      <c r="DA45" s="89"/>
      <c r="DB45" s="89"/>
      <c r="DC45" s="38" t="e">
        <f t="shared" si="70"/>
        <v>#DIV/0!</v>
      </c>
      <c r="DD45" s="48"/>
      <c r="DE45" s="116"/>
      <c r="DF45" s="116"/>
      <c r="DG45" s="89"/>
      <c r="DH45" s="89"/>
      <c r="DI45" s="48"/>
      <c r="DJ45" s="48">
        <f t="shared" si="71"/>
        <v>0</v>
      </c>
      <c r="DK45" s="16"/>
      <c r="DL45" s="48">
        <v>1</v>
      </c>
      <c r="DM45" s="67" t="s">
        <v>120</v>
      </c>
      <c r="DN45" s="48">
        <f t="shared" si="73"/>
        <v>0.5</v>
      </c>
      <c r="DO45" s="48"/>
      <c r="DP45" s="48"/>
      <c r="DQ45" s="48"/>
      <c r="DR45" s="48"/>
      <c r="DS45" s="48"/>
      <c r="DT45" s="48"/>
      <c r="DU45" s="16" t="s">
        <v>121</v>
      </c>
      <c r="DV45" s="48">
        <f t="shared" si="74"/>
        <v>0.5</v>
      </c>
      <c r="DW45" s="16" t="s">
        <v>121</v>
      </c>
      <c r="DX45" s="48">
        <f t="shared" si="75"/>
        <v>0.5</v>
      </c>
      <c r="DY45" s="16" t="s">
        <v>122</v>
      </c>
      <c r="DZ45" s="48">
        <f t="shared" si="76"/>
        <v>0.5</v>
      </c>
      <c r="EA45" s="16"/>
      <c r="EB45" s="48">
        <f t="shared" si="77"/>
        <v>0</v>
      </c>
      <c r="EC45" s="16"/>
      <c r="ED45" s="48">
        <f t="shared" si="78"/>
        <v>0</v>
      </c>
      <c r="EE45" s="48"/>
      <c r="EF45" s="48"/>
      <c r="EG45" s="73" t="e">
        <f t="shared" si="79"/>
        <v>#DIV/0!</v>
      </c>
    </row>
    <row r="46" spans="1:137" ht="15" hidden="1" x14ac:dyDescent="0.25">
      <c r="A46" s="1" t="s">
        <v>31</v>
      </c>
      <c r="B46" s="13">
        <v>2233.6999999999998</v>
      </c>
      <c r="C46" s="27">
        <v>63499.5</v>
      </c>
      <c r="D46" s="13">
        <v>32153.4</v>
      </c>
      <c r="E46" s="28"/>
      <c r="F46" s="28"/>
      <c r="G46" s="53">
        <f t="shared" si="84"/>
        <v>7.1259263512845297E-2</v>
      </c>
      <c r="H46" s="38" t="s">
        <v>74</v>
      </c>
      <c r="I46" s="69">
        <f>IF(G46&lt;=0.1,1,0)</f>
        <v>1</v>
      </c>
      <c r="J46" s="13"/>
      <c r="K46" s="14">
        <v>258669.4</v>
      </c>
      <c r="L46" s="70">
        <v>127650.9</v>
      </c>
      <c r="M46" s="29"/>
      <c r="N46" s="54">
        <f t="shared" si="48"/>
        <v>0</v>
      </c>
      <c r="O46" s="38" t="s">
        <v>77</v>
      </c>
      <c r="P46" s="48">
        <f>IF(N46&lt;=1,1,0)</f>
        <v>1</v>
      </c>
      <c r="Q46" s="13"/>
      <c r="R46" s="31">
        <v>8140</v>
      </c>
      <c r="S46" s="56">
        <f>Q46/R46</f>
        <v>0</v>
      </c>
      <c r="T46" s="38" t="s">
        <v>77</v>
      </c>
      <c r="U46" s="48">
        <f t="shared" si="49"/>
        <v>1</v>
      </c>
      <c r="V46" s="16">
        <v>13429.5</v>
      </c>
      <c r="W46" s="16">
        <v>15214</v>
      </c>
      <c r="X46" s="56">
        <f t="shared" si="50"/>
        <v>0.88270671749704221</v>
      </c>
      <c r="Y46" s="38" t="s">
        <v>77</v>
      </c>
      <c r="Z46" s="48">
        <f t="shared" si="51"/>
        <v>1</v>
      </c>
      <c r="AA46" s="94"/>
      <c r="AB46" s="94"/>
      <c r="AC46" s="63" t="e">
        <f t="shared" si="52"/>
        <v>#DIV/0!</v>
      </c>
      <c r="AD46" s="38" t="s">
        <v>77</v>
      </c>
      <c r="AE46" s="48" t="e">
        <f t="shared" si="53"/>
        <v>#DIV/0!</v>
      </c>
      <c r="AF46" s="48"/>
      <c r="AG46" s="48"/>
      <c r="AH46" s="48"/>
      <c r="AI46" s="48"/>
      <c r="AJ46" s="48"/>
      <c r="AK46" s="16"/>
      <c r="AL46" s="16"/>
      <c r="AM46" s="64">
        <v>0</v>
      </c>
      <c r="AN46" s="38" t="s">
        <v>86</v>
      </c>
      <c r="AO46" s="48">
        <f t="shared" si="54"/>
        <v>1</v>
      </c>
      <c r="AP46" s="83">
        <v>2976.8</v>
      </c>
      <c r="AQ46" s="84">
        <v>42384.1</v>
      </c>
      <c r="AR46" s="57">
        <f t="shared" si="55"/>
        <v>7.0233884876640063E-2</v>
      </c>
      <c r="AS46" s="48">
        <f t="shared" si="56"/>
        <v>-1</v>
      </c>
      <c r="AT46" s="16"/>
      <c r="AU46" s="16">
        <v>33</v>
      </c>
      <c r="AV46" s="56">
        <f t="shared" si="57"/>
        <v>0</v>
      </c>
      <c r="AW46" s="48">
        <f t="shared" si="58"/>
        <v>-1</v>
      </c>
      <c r="AX46" s="83">
        <v>131018.5</v>
      </c>
      <c r="AY46" s="84">
        <v>132623.5</v>
      </c>
      <c r="AZ46" s="56">
        <f t="shared" si="59"/>
        <v>0.98789807236274119</v>
      </c>
      <c r="BA46" s="48">
        <f t="shared" si="60"/>
        <v>1</v>
      </c>
      <c r="BB46" s="48"/>
      <c r="BC46" s="48"/>
      <c r="BD46" s="48"/>
      <c r="BE46" s="48"/>
      <c r="BF46" s="48"/>
      <c r="BG46" s="48"/>
      <c r="BH46" s="96">
        <v>131018.5</v>
      </c>
      <c r="BI46" s="96">
        <v>33267</v>
      </c>
      <c r="BJ46" s="96">
        <v>127167.6</v>
      </c>
      <c r="BK46" s="96">
        <v>29751</v>
      </c>
      <c r="BL46" s="56">
        <f t="shared" si="61"/>
        <v>0.92139123737896944</v>
      </c>
      <c r="BM46" s="48">
        <f t="shared" si="62"/>
        <v>0</v>
      </c>
      <c r="BN46" s="16"/>
      <c r="BO46" s="16"/>
      <c r="BP46" s="13"/>
      <c r="BQ46" s="29"/>
      <c r="BR46" s="66">
        <v>0</v>
      </c>
      <c r="BS46" s="48">
        <f t="shared" si="63"/>
        <v>0</v>
      </c>
      <c r="BT46" s="48"/>
      <c r="BU46" s="48"/>
      <c r="BV46" s="16"/>
      <c r="BW46" s="48">
        <f t="shared" si="64"/>
        <v>0</v>
      </c>
      <c r="BX46" s="16"/>
      <c r="BY46" s="16"/>
      <c r="BZ46" s="16"/>
      <c r="CA46" s="29"/>
      <c r="CB46" s="29" t="e">
        <f t="shared" si="65"/>
        <v>#DIV/0!</v>
      </c>
      <c r="CC46" s="29" t="e">
        <f t="shared" si="66"/>
        <v>#DIV/0!</v>
      </c>
      <c r="CD46" s="29"/>
      <c r="CE46" s="84"/>
      <c r="CF46" s="97"/>
      <c r="CG46" s="84"/>
      <c r="CH46" s="29"/>
      <c r="CI46" s="29"/>
      <c r="CJ46" s="19"/>
      <c r="CK46" s="94">
        <v>31346.2</v>
      </c>
      <c r="CL46" s="56" t="e">
        <f>(CJ46/CK46)/(#REF!/#REF!)</f>
        <v>#REF!</v>
      </c>
      <c r="CM46" s="80" t="e">
        <f t="shared" si="37"/>
        <v>#REF!</v>
      </c>
      <c r="CN46" s="44"/>
      <c r="CO46" s="48">
        <f t="shared" si="67"/>
        <v>0</v>
      </c>
      <c r="CP46" s="83"/>
      <c r="CQ46" s="83">
        <v>1</v>
      </c>
      <c r="CR46" s="83"/>
      <c r="CS46" s="83"/>
      <c r="CT46" s="83">
        <v>1</v>
      </c>
      <c r="CU46" s="38">
        <f t="shared" si="68"/>
        <v>2</v>
      </c>
      <c r="CV46" s="48">
        <f t="shared" si="69"/>
        <v>0</v>
      </c>
      <c r="CW46" s="89"/>
      <c r="CX46" s="89"/>
      <c r="CY46" s="48"/>
      <c r="CZ46" s="48"/>
      <c r="DA46" s="89"/>
      <c r="DB46" s="89"/>
      <c r="DC46" s="38" t="e">
        <f t="shared" si="70"/>
        <v>#DIV/0!</v>
      </c>
      <c r="DD46" s="48"/>
      <c r="DE46" s="116"/>
      <c r="DF46" s="116"/>
      <c r="DG46" s="89"/>
      <c r="DH46" s="89"/>
      <c r="DI46" s="48"/>
      <c r="DJ46" s="48">
        <f t="shared" si="71"/>
        <v>0</v>
      </c>
      <c r="DK46" s="16"/>
      <c r="DL46" s="48">
        <v>1</v>
      </c>
      <c r="DM46" s="16"/>
      <c r="DN46" s="48">
        <f t="shared" si="73"/>
        <v>0</v>
      </c>
      <c r="DO46" s="48"/>
      <c r="DP46" s="48"/>
      <c r="DQ46" s="48"/>
      <c r="DR46" s="48"/>
      <c r="DS46" s="48"/>
      <c r="DT46" s="48"/>
      <c r="DU46" s="16" t="s">
        <v>132</v>
      </c>
      <c r="DV46" s="48">
        <f t="shared" si="74"/>
        <v>0.5</v>
      </c>
      <c r="DW46" s="16" t="s">
        <v>133</v>
      </c>
      <c r="DX46" s="48">
        <f t="shared" si="75"/>
        <v>0.5</v>
      </c>
      <c r="DY46" s="16" t="s">
        <v>134</v>
      </c>
      <c r="DZ46" s="48">
        <f t="shared" si="76"/>
        <v>0.5</v>
      </c>
      <c r="EA46" s="16"/>
      <c r="EB46" s="48">
        <f t="shared" si="77"/>
        <v>0</v>
      </c>
      <c r="EC46" s="16"/>
      <c r="ED46" s="48">
        <f t="shared" si="78"/>
        <v>0</v>
      </c>
      <c r="EE46" s="48"/>
      <c r="EF46" s="48"/>
      <c r="EG46" s="73" t="e">
        <f t="shared" si="79"/>
        <v>#DIV/0!</v>
      </c>
    </row>
    <row r="47" spans="1:137" ht="15" hidden="1" x14ac:dyDescent="0.25">
      <c r="A47" s="1" t="s">
        <v>32</v>
      </c>
      <c r="B47" s="13"/>
      <c r="C47" s="27">
        <v>138543.70000000001</v>
      </c>
      <c r="D47" s="13">
        <v>85561.9</v>
      </c>
      <c r="E47" s="28"/>
      <c r="F47" s="28"/>
      <c r="G47" s="53">
        <f t="shared" si="84"/>
        <v>0</v>
      </c>
      <c r="H47" s="38" t="s">
        <v>74</v>
      </c>
      <c r="I47" s="69">
        <f>IF(G47&lt;=0.1,1,0)</f>
        <v>1</v>
      </c>
      <c r="J47" s="13">
        <v>16809.2</v>
      </c>
      <c r="K47" s="14">
        <v>550586</v>
      </c>
      <c r="L47" s="70">
        <v>326274.90000000002</v>
      </c>
      <c r="M47" s="29"/>
      <c r="N47" s="54">
        <f t="shared" si="48"/>
        <v>7.493699598459462E-2</v>
      </c>
      <c r="O47" s="38" t="s">
        <v>77</v>
      </c>
      <c r="P47" s="48">
        <f>IF(N47&lt;=1,1,0)</f>
        <v>1</v>
      </c>
      <c r="Q47" s="13">
        <v>16809.2</v>
      </c>
      <c r="R47" s="31">
        <v>24200</v>
      </c>
      <c r="S47" s="56">
        <f>Q47/R47</f>
        <v>0.69459504132231409</v>
      </c>
      <c r="T47" s="38" t="s">
        <v>77</v>
      </c>
      <c r="U47" s="48">
        <f t="shared" si="49"/>
        <v>1</v>
      </c>
      <c r="V47" s="16">
        <v>17035.099999999999</v>
      </c>
      <c r="W47" s="16">
        <v>18379</v>
      </c>
      <c r="X47" s="56">
        <f t="shared" si="50"/>
        <v>0.92687850263888127</v>
      </c>
      <c r="Y47" s="38" t="s">
        <v>77</v>
      </c>
      <c r="Z47" s="48">
        <f t="shared" si="51"/>
        <v>1</v>
      </c>
      <c r="AA47" s="94"/>
      <c r="AB47" s="94"/>
      <c r="AC47" s="63" t="e">
        <f t="shared" si="52"/>
        <v>#DIV/0!</v>
      </c>
      <c r="AD47" s="38" t="s">
        <v>77</v>
      </c>
      <c r="AE47" s="48" t="e">
        <f t="shared" si="53"/>
        <v>#DIV/0!</v>
      </c>
      <c r="AF47" s="48"/>
      <c r="AG47" s="48"/>
      <c r="AH47" s="48"/>
      <c r="AI47" s="48"/>
      <c r="AJ47" s="48"/>
      <c r="AK47" s="16"/>
      <c r="AL47" s="50">
        <v>5790</v>
      </c>
      <c r="AM47" s="64">
        <f>AK47/AL47</f>
        <v>0</v>
      </c>
      <c r="AN47" s="38" t="s">
        <v>86</v>
      </c>
      <c r="AO47" s="48">
        <f t="shared" si="54"/>
        <v>1</v>
      </c>
      <c r="AP47" s="83">
        <v>1407.1</v>
      </c>
      <c r="AQ47" s="84">
        <v>60935.6</v>
      </c>
      <c r="AR47" s="57">
        <f t="shared" si="55"/>
        <v>2.3091591778861616E-2</v>
      </c>
      <c r="AS47" s="48">
        <f t="shared" si="56"/>
        <v>-1</v>
      </c>
      <c r="AT47" s="16"/>
      <c r="AU47" s="16">
        <v>38</v>
      </c>
      <c r="AV47" s="56">
        <f t="shared" si="57"/>
        <v>0</v>
      </c>
      <c r="AW47" s="48">
        <f t="shared" si="58"/>
        <v>-1</v>
      </c>
      <c r="AX47" s="83">
        <v>224311.1</v>
      </c>
      <c r="AY47" s="84">
        <v>224483.1</v>
      </c>
      <c r="AZ47" s="56">
        <f t="shared" si="59"/>
        <v>0.99923379532802248</v>
      </c>
      <c r="BA47" s="48">
        <f t="shared" si="60"/>
        <v>1</v>
      </c>
      <c r="BB47" s="48"/>
      <c r="BC47" s="48"/>
      <c r="BD47" s="48"/>
      <c r="BE47" s="48"/>
      <c r="BF47" s="48"/>
      <c r="BG47" s="48"/>
      <c r="BH47" s="96">
        <v>224311.1</v>
      </c>
      <c r="BI47" s="96">
        <v>56708</v>
      </c>
      <c r="BJ47" s="96">
        <v>211755.7</v>
      </c>
      <c r="BK47" s="96">
        <v>43214</v>
      </c>
      <c r="BL47" s="56">
        <f t="shared" si="61"/>
        <v>0.80722720987945362</v>
      </c>
      <c r="BM47" s="48">
        <f t="shared" si="62"/>
        <v>0</v>
      </c>
      <c r="BN47" s="16"/>
      <c r="BO47" s="16"/>
      <c r="BP47" s="13"/>
      <c r="BQ47" s="29"/>
      <c r="BR47" s="66">
        <v>0</v>
      </c>
      <c r="BS47" s="48">
        <f t="shared" si="63"/>
        <v>0</v>
      </c>
      <c r="BT47" s="48"/>
      <c r="BU47" s="48"/>
      <c r="BV47" s="16"/>
      <c r="BW47" s="48">
        <f t="shared" si="64"/>
        <v>0</v>
      </c>
      <c r="BX47" s="16"/>
      <c r="BY47" s="16"/>
      <c r="BZ47" s="16"/>
      <c r="CA47" s="29"/>
      <c r="CB47" s="29" t="e">
        <f t="shared" si="65"/>
        <v>#DIV/0!</v>
      </c>
      <c r="CC47" s="29" t="e">
        <f t="shared" si="66"/>
        <v>#DIV/0!</v>
      </c>
      <c r="CD47" s="29"/>
      <c r="CE47" s="84"/>
      <c r="CF47" s="97"/>
      <c r="CG47" s="84"/>
      <c r="CH47" s="29"/>
      <c r="CI47" s="29"/>
      <c r="CJ47" s="19">
        <v>16809.2</v>
      </c>
      <c r="CK47" s="94">
        <v>52981.9</v>
      </c>
      <c r="CL47" s="56" t="e">
        <f>(CJ47/CK47)/(#REF!/#REF!)</f>
        <v>#REF!</v>
      </c>
      <c r="CM47" s="80" t="e">
        <f t="shared" si="37"/>
        <v>#REF!</v>
      </c>
      <c r="CN47" s="44"/>
      <c r="CO47" s="48">
        <f t="shared" si="67"/>
        <v>0</v>
      </c>
      <c r="CP47" s="83"/>
      <c r="CQ47" s="83">
        <v>1</v>
      </c>
      <c r="CR47" s="83"/>
      <c r="CS47" s="83"/>
      <c r="CT47" s="83"/>
      <c r="CU47" s="38">
        <f t="shared" si="68"/>
        <v>1</v>
      </c>
      <c r="CV47" s="48">
        <f t="shared" si="69"/>
        <v>0</v>
      </c>
      <c r="CW47" s="89"/>
      <c r="CX47" s="89"/>
      <c r="CY47" s="48"/>
      <c r="CZ47" s="48"/>
      <c r="DA47" s="89"/>
      <c r="DB47" s="89"/>
      <c r="DC47" s="38" t="e">
        <f t="shared" si="70"/>
        <v>#DIV/0!</v>
      </c>
      <c r="DD47" s="48"/>
      <c r="DE47" s="116"/>
      <c r="DF47" s="116"/>
      <c r="DG47" s="89"/>
      <c r="DH47" s="89"/>
      <c r="DI47" s="48"/>
      <c r="DJ47" s="48">
        <f t="shared" si="71"/>
        <v>0</v>
      </c>
      <c r="DK47" s="16"/>
      <c r="DL47" s="48">
        <v>1</v>
      </c>
      <c r="DM47" s="16"/>
      <c r="DN47" s="48">
        <f t="shared" si="73"/>
        <v>0</v>
      </c>
      <c r="DO47" s="48"/>
      <c r="DP47" s="48"/>
      <c r="DQ47" s="48"/>
      <c r="DR47" s="48"/>
      <c r="DS47" s="48"/>
      <c r="DT47" s="48"/>
      <c r="DU47" s="16"/>
      <c r="DV47" s="48">
        <f t="shared" si="74"/>
        <v>0</v>
      </c>
      <c r="DW47" s="16" t="s">
        <v>204</v>
      </c>
      <c r="DX47" s="48">
        <f t="shared" si="75"/>
        <v>0.5</v>
      </c>
      <c r="DY47" s="16" t="s">
        <v>205</v>
      </c>
      <c r="DZ47" s="48">
        <f t="shared" si="76"/>
        <v>0.5</v>
      </c>
      <c r="EA47" s="16"/>
      <c r="EB47" s="48">
        <f t="shared" si="77"/>
        <v>0</v>
      </c>
      <c r="EC47" s="16"/>
      <c r="ED47" s="48">
        <f t="shared" si="78"/>
        <v>0</v>
      </c>
      <c r="EE47" s="48"/>
      <c r="EF47" s="48"/>
      <c r="EG47" s="73" t="e">
        <f t="shared" si="79"/>
        <v>#DIV/0!</v>
      </c>
    </row>
    <row r="48" spans="1:137" ht="15" hidden="1" x14ac:dyDescent="0.25">
      <c r="A48" s="1" t="s">
        <v>33</v>
      </c>
      <c r="B48" s="13"/>
      <c r="C48" s="27">
        <v>1210145.7</v>
      </c>
      <c r="D48" s="13">
        <v>258362.4</v>
      </c>
      <c r="E48" s="28"/>
      <c r="F48" s="28"/>
      <c r="G48" s="53">
        <f t="shared" si="84"/>
        <v>0</v>
      </c>
      <c r="H48" s="38" t="s">
        <v>74</v>
      </c>
      <c r="I48" s="69">
        <f>IF(G48&lt;=0.1,1,0)</f>
        <v>1</v>
      </c>
      <c r="J48" s="13">
        <v>177757.1</v>
      </c>
      <c r="K48" s="14">
        <v>6351273.9000000004</v>
      </c>
      <c r="L48" s="70">
        <v>2018343.8</v>
      </c>
      <c r="M48" s="29"/>
      <c r="N48" s="54">
        <f t="shared" si="48"/>
        <v>4.1024686735657234E-2</v>
      </c>
      <c r="O48" s="38" t="s">
        <v>77</v>
      </c>
      <c r="P48" s="48">
        <f>IF(N48&lt;=1,1,0)</f>
        <v>1</v>
      </c>
      <c r="Q48" s="13">
        <v>177757.1</v>
      </c>
      <c r="R48" s="31">
        <v>440541.3</v>
      </c>
      <c r="S48" s="56">
        <f>Q48/R48</f>
        <v>0.40349701605729138</v>
      </c>
      <c r="T48" s="38" t="s">
        <v>77</v>
      </c>
      <c r="U48" s="48">
        <f t="shared" si="49"/>
        <v>1</v>
      </c>
      <c r="V48" s="20">
        <v>367531</v>
      </c>
      <c r="W48" s="20">
        <v>349243</v>
      </c>
      <c r="X48" s="57">
        <f t="shared" si="50"/>
        <v>1.0523646859063747</v>
      </c>
      <c r="Y48" s="38" t="s">
        <v>77</v>
      </c>
      <c r="Z48" s="48">
        <f t="shared" si="51"/>
        <v>0</v>
      </c>
      <c r="AA48" s="94"/>
      <c r="AB48" s="94"/>
      <c r="AC48" s="63" t="e">
        <f t="shared" si="52"/>
        <v>#DIV/0!</v>
      </c>
      <c r="AD48" s="38" t="s">
        <v>77</v>
      </c>
      <c r="AE48" s="48" t="e">
        <f t="shared" si="53"/>
        <v>#DIV/0!</v>
      </c>
      <c r="AF48" s="48"/>
      <c r="AG48" s="48"/>
      <c r="AH48" s="48"/>
      <c r="AI48" s="48"/>
      <c r="AJ48" s="48"/>
      <c r="AK48" s="16"/>
      <c r="AL48" s="16"/>
      <c r="AM48" s="64">
        <v>0</v>
      </c>
      <c r="AN48" s="38" t="s">
        <v>86</v>
      </c>
      <c r="AO48" s="48">
        <f t="shared" si="54"/>
        <v>1</v>
      </c>
      <c r="AP48" s="83">
        <v>53158.5</v>
      </c>
      <c r="AQ48" s="84">
        <v>876794.6</v>
      </c>
      <c r="AR48" s="57">
        <f t="shared" si="55"/>
        <v>6.0628224672004141E-2</v>
      </c>
      <c r="AS48" s="48">
        <f t="shared" si="56"/>
        <v>-1</v>
      </c>
      <c r="AT48" s="16">
        <v>10</v>
      </c>
      <c r="AU48" s="16">
        <v>295</v>
      </c>
      <c r="AV48" s="56">
        <f t="shared" si="57"/>
        <v>3.3898305084745763E-2</v>
      </c>
      <c r="AW48" s="48">
        <f t="shared" si="58"/>
        <v>-1</v>
      </c>
      <c r="AX48" s="83">
        <v>4332930.0999999996</v>
      </c>
      <c r="AY48" s="83">
        <v>4206243</v>
      </c>
      <c r="AZ48" s="56">
        <f t="shared" si="59"/>
        <v>1.0301188257549552</v>
      </c>
      <c r="BA48" s="48">
        <f t="shared" si="60"/>
        <v>1</v>
      </c>
      <c r="BB48" s="48"/>
      <c r="BC48" s="48"/>
      <c r="BD48" s="48"/>
      <c r="BE48" s="48"/>
      <c r="BF48" s="48"/>
      <c r="BG48" s="48"/>
      <c r="BH48" s="96">
        <v>4332930.0999999996</v>
      </c>
      <c r="BI48" s="96">
        <v>7158</v>
      </c>
      <c r="BJ48" s="96">
        <v>4784485</v>
      </c>
      <c r="BK48" s="96">
        <v>1</v>
      </c>
      <c r="BL48" s="56">
        <f t="shared" si="61"/>
        <v>1.2651872059952815E-4</v>
      </c>
      <c r="BM48" s="48">
        <f t="shared" si="62"/>
        <v>0</v>
      </c>
      <c r="BN48" s="16"/>
      <c r="BO48" s="16"/>
      <c r="BP48" s="19"/>
      <c r="BQ48" s="29"/>
      <c r="BR48" s="66">
        <v>0</v>
      </c>
      <c r="BS48" s="48">
        <f t="shared" si="63"/>
        <v>0</v>
      </c>
      <c r="BT48" s="48"/>
      <c r="BU48" s="48"/>
      <c r="BV48" s="16">
        <v>3326</v>
      </c>
      <c r="BW48" s="48">
        <f t="shared" si="64"/>
        <v>-1</v>
      </c>
      <c r="BX48" s="16"/>
      <c r="BY48" s="16"/>
      <c r="BZ48" s="16"/>
      <c r="CA48" s="29"/>
      <c r="CB48" s="29" t="e">
        <f t="shared" si="65"/>
        <v>#DIV/0!</v>
      </c>
      <c r="CC48" s="29" t="e">
        <f t="shared" si="66"/>
        <v>#DIV/0!</v>
      </c>
      <c r="CD48" s="29"/>
      <c r="CE48" s="84"/>
      <c r="CF48" s="97"/>
      <c r="CG48" s="84"/>
      <c r="CH48" s="29"/>
      <c r="CI48" s="29"/>
      <c r="CJ48" s="19">
        <v>177757.1</v>
      </c>
      <c r="CK48" s="94">
        <v>951783.3</v>
      </c>
      <c r="CL48" s="56" t="e">
        <f>(CJ48/CK48)/(#REF!/#REF!)</f>
        <v>#REF!</v>
      </c>
      <c r="CM48" s="80" t="e">
        <f t="shared" si="37"/>
        <v>#REF!</v>
      </c>
      <c r="CN48" s="44">
        <v>20</v>
      </c>
      <c r="CO48" s="48">
        <f t="shared" si="67"/>
        <v>-1</v>
      </c>
      <c r="CP48" s="83"/>
      <c r="CQ48" s="83"/>
      <c r="CR48" s="83"/>
      <c r="CS48" s="83"/>
      <c r="CT48" s="83"/>
      <c r="CU48" s="38">
        <f t="shared" si="68"/>
        <v>0</v>
      </c>
      <c r="CV48" s="48">
        <f t="shared" si="69"/>
        <v>0</v>
      </c>
      <c r="CW48" s="89"/>
      <c r="CX48" s="89"/>
      <c r="CY48" s="48"/>
      <c r="CZ48" s="48"/>
      <c r="DA48" s="89"/>
      <c r="DB48" s="89"/>
      <c r="DC48" s="38" t="e">
        <f t="shared" si="70"/>
        <v>#DIV/0!</v>
      </c>
      <c r="DD48" s="48"/>
      <c r="DE48" s="116"/>
      <c r="DF48" s="116"/>
      <c r="DG48" s="89"/>
      <c r="DH48" s="89"/>
      <c r="DI48" s="48"/>
      <c r="DJ48" s="48">
        <f t="shared" si="71"/>
        <v>0</v>
      </c>
      <c r="DK48" s="16"/>
      <c r="DL48" s="48">
        <v>1</v>
      </c>
      <c r="DM48" s="16" t="s">
        <v>206</v>
      </c>
      <c r="DN48" s="48">
        <f t="shared" si="73"/>
        <v>0.5</v>
      </c>
      <c r="DO48" s="48"/>
      <c r="DP48" s="48"/>
      <c r="DQ48" s="48"/>
      <c r="DR48" s="48"/>
      <c r="DS48" s="48"/>
      <c r="DT48" s="48"/>
      <c r="DU48" s="16" t="s">
        <v>207</v>
      </c>
      <c r="DV48" s="48">
        <f t="shared" si="74"/>
        <v>0.5</v>
      </c>
      <c r="DW48" s="16" t="s">
        <v>208</v>
      </c>
      <c r="DX48" s="48">
        <f t="shared" si="75"/>
        <v>0.5</v>
      </c>
      <c r="DY48" s="16" t="s">
        <v>209</v>
      </c>
      <c r="DZ48" s="48">
        <f t="shared" si="76"/>
        <v>0.5</v>
      </c>
      <c r="EA48" s="16" t="s">
        <v>210</v>
      </c>
      <c r="EB48" s="48">
        <f t="shared" si="77"/>
        <v>0.5</v>
      </c>
      <c r="EC48" s="16"/>
      <c r="ED48" s="48">
        <f t="shared" si="78"/>
        <v>0</v>
      </c>
      <c r="EE48" s="48"/>
      <c r="EF48" s="48"/>
      <c r="EG48" s="73" t="e">
        <f t="shared" si="79"/>
        <v>#DIV/0!</v>
      </c>
    </row>
    <row r="49" spans="2:137" x14ac:dyDescent="0.2">
      <c r="B49" s="33"/>
      <c r="G49" s="52"/>
      <c r="H49" s="37"/>
      <c r="N49" s="55"/>
      <c r="R49" s="33"/>
      <c r="AA49" s="95"/>
      <c r="AB49" s="95"/>
      <c r="AP49" s="85"/>
      <c r="AQ49" s="87"/>
      <c r="BB49" s="92"/>
      <c r="BH49" s="85"/>
      <c r="BI49" s="86"/>
      <c r="BJ49" s="87"/>
      <c r="BK49" s="88"/>
      <c r="BR49" s="65"/>
      <c r="CE49" s="86"/>
      <c r="CF49" s="86"/>
      <c r="CG49" s="86"/>
      <c r="CJ49" s="95"/>
      <c r="CK49" s="100"/>
      <c r="CM49" s="81"/>
      <c r="CP49" s="87"/>
      <c r="CQ49" s="87"/>
      <c r="CR49" s="87"/>
      <c r="CS49" s="87"/>
      <c r="CT49" s="87"/>
      <c r="CW49" s="87"/>
      <c r="CX49" s="87" t="s">
        <v>295</v>
      </c>
      <c r="DA49" s="87"/>
      <c r="DB49" s="87"/>
      <c r="DE49" s="95"/>
      <c r="DF49" s="95"/>
      <c r="DG49" s="87"/>
      <c r="DH49" s="87"/>
      <c r="DM49" s="32"/>
      <c r="EG49" s="82"/>
    </row>
    <row r="50" spans="2:137" x14ac:dyDescent="0.2">
      <c r="R50" s="33"/>
      <c r="BB50" s="92"/>
      <c r="BH50" s="18"/>
      <c r="EG50" s="82"/>
    </row>
    <row r="51" spans="2:137" x14ac:dyDescent="0.2">
      <c r="BB51" s="92"/>
    </row>
    <row r="52" spans="2:137" x14ac:dyDescent="0.2">
      <c r="BB52" s="92"/>
    </row>
    <row r="53" spans="2:137" x14ac:dyDescent="0.2">
      <c r="BB53" s="92"/>
    </row>
    <row r="54" spans="2:137" x14ac:dyDescent="0.2">
      <c r="BB54" s="92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01.04.24</vt:lpstr>
      <vt:lpstr>'01.04.24'!Заголовки_для_печати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2024-09-30T12:21:43Z</dcterms:modified>
</cp:coreProperties>
</file>