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22995" windowHeight="11055" activeTab="0"/>
  </bookViews>
  <sheets>
    <sheet name="на 01.10.2017      " sheetId="1" r:id="rId1"/>
  </sheets>
  <definedNames>
    <definedName name="_xlnm.Print_Titles" localSheetId="0">'на 01.10.2017      '!$3:$3</definedName>
    <definedName name="_xlnm.Print_Area" localSheetId="0">'на 01.10.2017      '!$A$2:$I$169</definedName>
  </definedNames>
  <calcPr fullCalcOnLoad="1"/>
</workbook>
</file>

<file path=xl/sharedStrings.xml><?xml version="1.0" encoding="utf-8"?>
<sst xmlns="http://schemas.openxmlformats.org/spreadsheetml/2006/main" count="439" uniqueCount="298">
  <si>
    <t xml:space="preserve">          Возмещение части процентной ставки по долгосрочным, среднесрочным и краткосрочным кредитам взятым малыми формами хозяйствования</t>
  </si>
  <si>
    <t>06100N5440</t>
  </si>
  <si>
    <t>02000R5190 ДК 17-А09-00001</t>
  </si>
  <si>
    <t xml:space="preserve">0110015480 </t>
  </si>
  <si>
    <t xml:space="preserve">    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</t>
  </si>
  <si>
    <t>000 2022021605 0000 151</t>
  </si>
  <si>
    <t>000 2023508205 0000 151</t>
  </si>
  <si>
    <t>000 2022999905 0000 151</t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</si>
  <si>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на оплату труда работников, за исключением педагогических работников в рамках обеспечения урочной деятельности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</si>
  <si>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 xml:space="preserve">в части расходов на оплату труда  в рамках обеспечения внеурочной деятельности 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</si>
  <si>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 на выплату вознаграждения за выполнение функций классного руководитля педагогическим работникам муниципальных общеобразовательных организаций</t>
    </r>
  </si>
  <si>
    <t>0610016070</t>
  </si>
  <si>
    <r>
      <t>Субсидия</t>
    </r>
    <r>
      <rPr>
        <sz val="10"/>
        <color indexed="8"/>
        <rFont val="Times New Roman"/>
        <family val="1"/>
      </rPr>
      <t xml:space="preserve"> на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 (Вихаревское с/п)</t>
    </r>
  </si>
  <si>
    <r>
      <t xml:space="preserve">Субвенция по начислению и выплате компенсации платы, </t>
    </r>
    <r>
      <rPr>
        <sz val="9"/>
        <color indexed="8"/>
        <rFont val="Times New Roman"/>
        <family val="1"/>
      </rPr>
      <t>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  </r>
  </si>
  <si>
    <r>
      <t xml:space="preserve">Субсидии </t>
    </r>
    <r>
      <rPr>
        <sz val="9"/>
        <color indexed="8"/>
        <rFont val="Times New Roman"/>
        <family val="1"/>
      </rPr>
      <t>бюджетам субъектов Российской Федерации и муниципальных образований на модернизацию региональных систем дошкольного образования</t>
    </r>
    <r>
      <rPr>
        <b/>
        <sz val="9"/>
        <color indexed="8"/>
        <rFont val="Times New Roman"/>
        <family val="1"/>
      </rPr>
      <t xml:space="preserve">
</t>
    </r>
  </si>
  <si>
    <t>п/п</t>
  </si>
  <si>
    <t>Вид расхода</t>
  </si>
  <si>
    <t>ГРБС</t>
  </si>
  <si>
    <t>Код дохода</t>
  </si>
  <si>
    <t>ЦС</t>
  </si>
  <si>
    <t>План на год</t>
  </si>
  <si>
    <t>Поступление</t>
  </si>
  <si>
    <t>Кассовый расход</t>
  </si>
  <si>
    <t>Субвенция на составление (изменение и дополнение) списков кандидатов в присяжные заседатели федеральных судов общей юрисдикции в РФ.</t>
  </si>
  <si>
    <t>адм.   Района</t>
  </si>
  <si>
    <t>РАЙФУ</t>
  </si>
  <si>
    <t>00020202999050000151</t>
  </si>
  <si>
    <t>Вихарево</t>
  </si>
  <si>
    <t>Дамаскино</t>
  </si>
  <si>
    <t>Зимник</t>
  </si>
  <si>
    <t>Моторки</t>
  </si>
  <si>
    <t>Паска</t>
  </si>
  <si>
    <t xml:space="preserve">Порек  </t>
  </si>
  <si>
    <t>Селино</t>
  </si>
  <si>
    <t>Чернушка</t>
  </si>
  <si>
    <t>пгт.Кильм.</t>
  </si>
  <si>
    <t>РАЙФУ (п.г.т.)</t>
  </si>
  <si>
    <t>00020202089050000151</t>
  </si>
  <si>
    <t>адм. района</t>
  </si>
  <si>
    <t>00020202051050000151</t>
  </si>
  <si>
    <t>РУО</t>
  </si>
  <si>
    <t>адм.   района</t>
  </si>
  <si>
    <t>адм.    района</t>
  </si>
  <si>
    <t xml:space="preserve">00020202999050000151  </t>
  </si>
  <si>
    <t>адм.района</t>
  </si>
  <si>
    <t>00020204999050000151</t>
  </si>
  <si>
    <t>Повышение квалификации, профессиональная подготовка руководителей и учителей общеобразовательных учреждений</t>
  </si>
  <si>
    <t>МБС</t>
  </si>
  <si>
    <t>РЦКиД</t>
  </si>
  <si>
    <t>902</t>
  </si>
  <si>
    <t>Музей</t>
  </si>
  <si>
    <t>936</t>
  </si>
  <si>
    <t>992</t>
  </si>
  <si>
    <t>00020203024050000151</t>
  </si>
  <si>
    <t>ДШИ</t>
  </si>
  <si>
    <t>00020203022050000151</t>
  </si>
  <si>
    <t xml:space="preserve">РУО </t>
  </si>
  <si>
    <t>пгт</t>
  </si>
  <si>
    <t>учреждения</t>
  </si>
  <si>
    <t>РЦКи Д</t>
  </si>
  <si>
    <t>Райфинуправление</t>
  </si>
  <si>
    <t>Администрация района</t>
  </si>
  <si>
    <t>Кильмезская МБС</t>
  </si>
  <si>
    <t>Областная целевая программа "Дом для молодой семьи" на 2012 год</t>
  </si>
  <si>
    <t>00020202008050000151</t>
  </si>
  <si>
    <t>адм</t>
  </si>
  <si>
    <t>райфу</t>
  </si>
  <si>
    <t>00020201003050000151</t>
  </si>
  <si>
    <t xml:space="preserve">ВСЕГО МЕЖБЮДЖЕТНЫЕ ТРАНСФЕРТЫ </t>
  </si>
  <si>
    <t xml:space="preserve">Итого  МЕЖБЮДЖЕТНЫЕ ТРАНСФЕРТЫ </t>
  </si>
  <si>
    <t>Всего остаток  средств на счете (консолидиров.)</t>
  </si>
  <si>
    <t xml:space="preserve">из них средства:  муниципальный район      всего   </t>
  </si>
  <si>
    <t>в т.ч. целевые</t>
  </si>
  <si>
    <t>из них федеральные</t>
  </si>
  <si>
    <r>
      <t>Субвенция</t>
    </r>
    <r>
      <rPr>
        <sz val="9"/>
        <rFont val="Times New Roman"/>
        <family val="1"/>
      </rPr>
      <t xml:space="preserve"> на осуществление первичного воинского учета на территориях, где отсутствуют военные комиссариаты </t>
    </r>
  </si>
  <si>
    <r>
      <t>Субсидии</t>
    </r>
    <r>
      <rPr>
        <sz val="9"/>
        <rFont val="Times New Roman"/>
        <family val="1"/>
      </rPr>
      <t xml:space="preserve"> местным бюджетам из областного бюджета на реализацию подпрограммы "Обеспечение жильем молодых семей" федеральной целевой программы Жилище на 2011-2015 годы</t>
    </r>
  </si>
  <si>
    <r>
      <t>Субсидии</t>
    </r>
    <r>
      <rPr>
        <sz val="10"/>
        <color indexed="8"/>
        <rFont val="Times New Roman"/>
        <family val="1"/>
      </rPr>
      <t xml:space="preserve"> на преподготовку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</si>
  <si>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(</t>
    </r>
    <r>
      <rPr>
        <b/>
        <sz val="10"/>
        <rFont val="Times New Roman"/>
        <family val="1"/>
      </rPr>
      <t>приобретение спортивного оборудования)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</si>
  <si>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</t>
    </r>
    <r>
      <rPr>
        <b/>
        <sz val="10"/>
        <rFont val="Times New Roman"/>
        <family val="1"/>
      </rPr>
      <t>энергосбережение в системе общего образования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</si>
  <si>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оплату жилого помещения и коммунальных услуг (субсидии на оплату жилых помещений и коммунальных услуг) 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</si>
  <si>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начислению и выплате ежемесячного вознаграждения, причитающегося </t>
    </r>
    <r>
      <rPr>
        <b/>
        <sz val="10"/>
        <color indexed="8"/>
        <rFont val="Times New Roman"/>
        <family val="1"/>
      </rPr>
      <t>ПРИЕМНЫМ РОДИТЕЛЯМ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</si>
  <si>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государственных полномочий Кировской области по расчету и предоставлению дотаций бюджетам поселений</t>
    </r>
  </si>
  <si>
    <r>
      <t xml:space="preserve">Субвенции </t>
    </r>
    <r>
      <rPr>
        <sz val="10"/>
        <color indexed="8"/>
        <rFont val="Times New Roman"/>
        <family val="1"/>
      </rPr>
      <t>на выполнение отдельных государственных полномочий по осуществлению деятельности</t>
    </r>
    <r>
      <rPr>
        <b/>
        <sz val="10"/>
        <color indexed="8"/>
        <rFont val="Times New Roman"/>
        <family val="1"/>
      </rPr>
      <t xml:space="preserve"> ПО ОПЕКЕ И ПОПЕЧИТЕЛЬСТВУ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</si>
  <si>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</t>
    </r>
    <r>
      <rPr>
        <b/>
        <sz val="9"/>
        <rFont val="Times New Roman"/>
        <family val="1"/>
      </rPr>
      <t>оплату жилого помещения и коммунальных услуг (Администрирование расходов)</t>
    </r>
  </si>
  <si>
    <r>
      <t>Субсидия</t>
    </r>
    <r>
      <rPr>
        <sz val="10"/>
        <rFont val="Times New Roman"/>
        <family val="1"/>
      </rPr>
      <t xml:space="preserve"> на выравнивание МР</t>
    </r>
  </si>
  <si>
    <r>
      <t>Субсидия</t>
    </r>
    <r>
      <rPr>
        <sz val="10"/>
        <rFont val="Times New Roman"/>
        <family val="1"/>
      </rPr>
      <t xml:space="preserve"> на реализацию мероприятий областной целевой программы «Развитие транспортной инфраструктуры Кировской области до 2015 года»</t>
    </r>
  </si>
  <si>
    <r>
      <t xml:space="preserve">Дотация </t>
    </r>
    <r>
      <rPr>
        <sz val="10"/>
        <rFont val="Times New Roman"/>
        <family val="1"/>
      </rPr>
      <t>на выравнивание МР</t>
    </r>
  </si>
  <si>
    <r>
      <t>Дотация</t>
    </r>
    <r>
      <rPr>
        <sz val="10"/>
        <rFont val="Times New Roman"/>
        <family val="1"/>
      </rPr>
      <t xml:space="preserve"> на сбалансированность МР</t>
    </r>
  </si>
  <si>
    <r>
      <t xml:space="preserve">Субсидия </t>
    </r>
    <r>
      <rPr>
        <sz val="10"/>
        <color indexed="8"/>
        <rFont val="Times New Roman"/>
        <family val="1"/>
      </rPr>
      <t>на реализацию мероприятий ведомственной целевой программы "Государственная кадастровая оценка земель"</t>
    </r>
  </si>
  <si>
    <r>
      <t xml:space="preserve">Субвенция </t>
    </r>
    <r>
      <rPr>
        <sz val="10"/>
        <rFont val="Times New Roman"/>
        <family val="1"/>
      </rPr>
      <t>на обеспечение жилыми помещениями детей-сирот, сотавшихся безпопечения родителей, а так же детей, находящихся под опекой (попечительством), не имеющих закрепленного жилого помещения</t>
    </r>
  </si>
  <si>
    <r>
      <t>Субвенция</t>
    </r>
    <r>
      <rPr>
        <sz val="10"/>
        <rFont val="Times New Roman"/>
        <family val="1"/>
      </rPr>
      <t xml:space="preserve"> на частичную компенсацию расходов на оплату жилого помещения и </t>
    </r>
    <r>
      <rPr>
        <b/>
        <sz val="10"/>
        <rFont val="Times New Roman"/>
        <family val="1"/>
      </rPr>
      <t>коммунальных услуг</t>
    </r>
    <r>
      <rPr>
        <sz val="10"/>
        <rFont val="Times New Roman"/>
        <family val="1"/>
      </rPr>
      <t xml:space="preserve"> в виде ежемесячной денежной выплаты </t>
    </r>
  </si>
  <si>
    <t>адм.</t>
  </si>
  <si>
    <t xml:space="preserve"> ДП 1105</t>
  </si>
  <si>
    <t xml:space="preserve">Субвенция местным бюджетам из областного бюджета на реализацию прав на получение общедоступного и бесплатного дошкольного образования в муниципальных образовательных организациях </t>
  </si>
  <si>
    <t>доп. 2010</t>
  </si>
  <si>
    <t>0111701 ДП 2009</t>
  </si>
  <si>
    <t>0701515 ДП 3013</t>
  </si>
  <si>
    <r>
      <t xml:space="preserve">Субсидии </t>
    </r>
    <r>
      <rPr>
        <sz val="10"/>
        <rFont val="Times New Roman"/>
        <family val="1"/>
      </rPr>
      <t>из областного бюджета на переподготовку и повышение квалификации лиц, замещающих муниципальные должности, и муниципальных служащих по вопросам закупок  на 2014 год</t>
    </r>
  </si>
  <si>
    <t>1101516 ДП 3014</t>
  </si>
  <si>
    <t>1101514 ДП 3012</t>
  </si>
  <si>
    <r>
      <t>Субсидии</t>
    </r>
    <r>
      <rPr>
        <sz val="9"/>
        <rFont val="Times New Roman"/>
        <family val="1"/>
      </rPr>
      <t xml:space="preserve"> местным бюджетам из </t>
    </r>
    <r>
      <rPr>
        <b/>
        <sz val="9"/>
        <rFont val="Times New Roman"/>
        <family val="1"/>
      </rPr>
      <t>федерального бюджета</t>
    </r>
    <r>
      <rPr>
        <sz val="9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Жилище на 2011-2015 годы</t>
    </r>
  </si>
  <si>
    <t xml:space="preserve">06Г5018 </t>
  </si>
  <si>
    <r>
      <t>Субсидии</t>
    </r>
    <r>
      <rPr>
        <sz val="9"/>
        <rFont val="Times New Roman"/>
        <family val="1"/>
      </rPr>
      <t xml:space="preserve"> местным бюджетам из </t>
    </r>
    <r>
      <rPr>
        <b/>
        <sz val="9"/>
        <rFont val="Times New Roman"/>
        <family val="1"/>
      </rPr>
      <t>областного бюджета</t>
    </r>
    <r>
      <rPr>
        <sz val="9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Жилище на 2011-2015 годы</t>
    </r>
  </si>
  <si>
    <t>06Г1704</t>
  </si>
  <si>
    <t>00020203999050000151</t>
  </si>
  <si>
    <r>
      <t>Субвенция</t>
    </r>
    <r>
      <rPr>
        <sz val="9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9"/>
        <rFont val="Times New Roman"/>
        <family val="1"/>
      </rPr>
      <t>модернизация</t>
    </r>
    <r>
      <rPr>
        <sz val="9"/>
        <rFont val="Times New Roman"/>
        <family val="1"/>
      </rPr>
      <t xml:space="preserve"> региональных систем общего образования (</t>
    </r>
    <r>
      <rPr>
        <b/>
        <sz val="9"/>
        <rFont val="Times New Roman"/>
        <family val="1"/>
      </rPr>
      <t>приобретение спортивного инвентаря)</t>
    </r>
  </si>
  <si>
    <t>00020202204050000151</t>
  </si>
  <si>
    <t>0305020 ВР 322 ДК 6661</t>
  </si>
  <si>
    <t>00020202216050000151</t>
  </si>
  <si>
    <t>0115059 ДК 052</t>
  </si>
  <si>
    <r>
      <t xml:space="preserve">Субсидия </t>
    </r>
    <r>
      <rPr>
        <sz val="10"/>
        <rFont val="Times New Roman"/>
        <family val="1"/>
      </rPr>
      <t>на реализацию программ (проектов) в сфере отдыха и оздоровления молодежи</t>
    </r>
  </si>
  <si>
    <t>0301512 ДК 3010</t>
  </si>
  <si>
    <r>
      <t xml:space="preserve">0301510 </t>
    </r>
    <r>
      <rPr>
        <sz val="10"/>
        <rFont val="Times New Roman"/>
        <family val="1"/>
      </rPr>
      <t>ДК3008</t>
    </r>
  </si>
  <si>
    <r>
      <t xml:space="preserve">0305020 </t>
    </r>
    <r>
      <rPr>
        <sz val="10"/>
        <rFont val="Times New Roman"/>
        <family val="1"/>
      </rPr>
      <t>ДК 666</t>
    </r>
  </si>
  <si>
    <r>
      <t>Субвенции</t>
    </r>
    <r>
      <rPr>
        <sz val="10"/>
        <rFont val="Times New Roman"/>
        <family val="1"/>
      </rPr>
      <t xml:space="preserve"> на выполнение отдельных  государственных полномочий по созданию и деятельности в муниципальных образованиях </t>
    </r>
    <r>
      <rPr>
        <b/>
        <sz val="10"/>
        <rFont val="Times New Roman"/>
        <family val="1"/>
      </rPr>
      <t>административной(ых) комиссии(ий)</t>
    </r>
  </si>
  <si>
    <t>в приемной семье</t>
  </si>
  <si>
    <t>в семье опекуна</t>
  </si>
  <si>
    <t>райфо</t>
  </si>
  <si>
    <t>Большепорекское с/п</t>
  </si>
  <si>
    <t>Бурашевское с/п</t>
  </si>
  <si>
    <t>Вихаревское с/п</t>
  </si>
  <si>
    <t>Дамаскинское с/п</t>
  </si>
  <si>
    <t>Зимнякское с/п</t>
  </si>
  <si>
    <t xml:space="preserve"> М-Кильмезское с/п</t>
  </si>
  <si>
    <t>Моторское с/п</t>
  </si>
  <si>
    <t>Паскинское с/п</t>
  </si>
  <si>
    <t>Р-Ватажское с/п</t>
  </si>
  <si>
    <t>Селинское с/п</t>
  </si>
  <si>
    <t>Чернушское с/п</t>
  </si>
  <si>
    <t xml:space="preserve">0301611 </t>
  </si>
  <si>
    <t>0301615</t>
  </si>
  <si>
    <r>
      <t>Субвенция</t>
    </r>
    <r>
      <rPr>
        <sz val="10"/>
        <color indexed="8"/>
        <rFont val="Times New Roman"/>
        <family val="1"/>
      </rPr>
      <t xml:space="preserve"> на присвоение спортивных разрядов и квалификационных категорий спортивных судей, предусмотренных частью 2 статьи 7.1 Закона Кировской области "О физической культуре и спорте в Кировской области"</t>
    </r>
  </si>
  <si>
    <r>
      <t>Субсидия</t>
    </r>
    <r>
      <rPr>
        <sz val="10"/>
        <color indexed="8"/>
        <rFont val="Times New Roman"/>
        <family val="1"/>
      </rPr>
      <t xml:space="preserve"> на строительство объекта "Культурно-творческий молодежный центр" в пгт Кильмезь Кильмезского муниципального района Кировской области</t>
    </r>
  </si>
  <si>
    <t>20022</t>
  </si>
  <si>
    <t>20023</t>
  </si>
  <si>
    <r>
      <t>Субсидия</t>
    </r>
    <r>
      <rPr>
        <sz val="10"/>
        <color indexed="8"/>
        <rFont val="Times New Roman"/>
        <family val="1"/>
      </rPr>
      <t xml:space="preserve"> на преподготовку и повышение квалификации специалистов по финансовой работе органов местного самоуправления</t>
    </r>
  </si>
  <si>
    <t xml:space="preserve">адм.района </t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</si>
  <si>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на оплату труда педагогических работников в рамках обеспечения урочной деятельности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</si>
  <si>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учебных расходов в рамках обеспечения урочной деятельности</t>
    </r>
  </si>
  <si>
    <r>
      <t xml:space="preserve">Иные межбюджетные трансферты </t>
    </r>
    <r>
      <rPr>
        <sz val="10"/>
        <rFont val="Times New Roman"/>
        <family val="1"/>
      </rPr>
      <t>на ремонт памятников и обелисков воинам-землякам, погибшим в годы Великой Отечественной войны 1941-1945 годов</t>
    </r>
  </si>
  <si>
    <t>0201712</t>
  </si>
  <si>
    <r>
      <t xml:space="preserve">Субвенция </t>
    </r>
    <r>
      <rPr>
        <sz val="10"/>
        <rFont val="Times New Roman"/>
        <family val="1"/>
      </rPr>
      <t xml:space="preserve">на содержание ребенка в семье опекуна и приемной семье за счет средств областного бюджета </t>
    </r>
  </si>
  <si>
    <t>итого субвенции:</t>
  </si>
  <si>
    <t>итого субсидии:</t>
  </si>
  <si>
    <t>итого иные мбт:</t>
  </si>
  <si>
    <r>
      <t xml:space="preserve">                      </t>
    </r>
    <r>
      <rPr>
        <b/>
        <sz val="10"/>
        <color indexed="8"/>
        <rFont val="Times New Roman"/>
        <family val="1"/>
      </rPr>
      <t xml:space="preserve">Субвенция </t>
    </r>
    <r>
      <rPr>
        <sz val="10"/>
        <color indexed="8"/>
        <rFont val="Times New Roman"/>
        <family val="1"/>
      </rPr>
      <t>на содержание органов местного самоуправления, осуществляющих и отдельные государственные полномочия области по поддержке сельскохозяйственного производства</t>
    </r>
  </si>
  <si>
    <t>0611602 ДП 1544</t>
  </si>
  <si>
    <r>
      <t xml:space="preserve">                     </t>
    </r>
    <r>
      <rPr>
        <b/>
        <sz val="10"/>
        <color indexed="8"/>
        <rFont val="Times New Roman"/>
        <family val="1"/>
      </rPr>
      <t xml:space="preserve"> Субвенции</t>
    </r>
    <r>
      <rPr>
        <sz val="10"/>
        <color indexed="8"/>
        <rFont val="Times New Roman"/>
        <family val="1"/>
      </rPr>
      <t xml:space="preserve">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</t>
    </r>
  </si>
  <si>
    <r>
      <t xml:space="preserve">                    </t>
    </r>
    <r>
      <rPr>
        <b/>
        <sz val="10"/>
        <color indexed="8"/>
        <rFont val="Times New Roman"/>
        <family val="1"/>
      </rPr>
      <t xml:space="preserve">  Субвенции </t>
    </r>
    <r>
      <rPr>
        <sz val="10"/>
        <color indexed="8"/>
        <rFont val="Times New Roman"/>
        <family val="1"/>
      </rPr>
      <t>на производство и реализацию сельскохозяйственной продукции собственного производства и продуктов ее переработки</t>
    </r>
  </si>
  <si>
    <t>0901508 ДП3007</t>
  </si>
  <si>
    <r>
      <t xml:space="preserve">                     </t>
    </r>
    <r>
      <rPr>
        <b/>
        <sz val="10"/>
        <color indexed="8"/>
        <rFont val="Times New Roman"/>
        <family val="1"/>
      </rPr>
      <t xml:space="preserve"> Субсидия </t>
    </r>
    <r>
      <rPr>
        <sz val="10"/>
        <color indexed="8"/>
        <rFont val="Times New Roman"/>
        <family val="1"/>
      </rPr>
      <t>на осуществление дорожной деятельности в отношении автомобильных дорог общего пользования местного значения</t>
    </r>
  </si>
  <si>
    <t>0201522 ДП3030</t>
  </si>
  <si>
    <r>
      <t xml:space="preserve">                   </t>
    </r>
    <r>
      <rPr>
        <b/>
        <sz val="10"/>
        <color indexed="8"/>
        <rFont val="Times New Roman"/>
        <family val="1"/>
      </rPr>
      <t xml:space="preserve">   Субсидия </t>
    </r>
    <r>
      <rPr>
        <sz val="10"/>
        <color indexed="8"/>
        <rFont val="Times New Roman"/>
        <family val="1"/>
      </rPr>
      <t>на предоставление социальных выплат молодым семьям на приобретение жилого помещения, в том числе экономкласса, или строительство индивидуального жилого дома, в том числе экономкласса</t>
    </r>
  </si>
  <si>
    <t>райфо(город.пос.)</t>
  </si>
  <si>
    <r>
      <t xml:space="preserve">                      </t>
    </r>
    <r>
      <rPr>
        <b/>
        <sz val="10"/>
        <color indexed="8"/>
        <rFont val="Times New Roman"/>
        <family val="1"/>
      </rPr>
      <t>Субсидии</t>
    </r>
    <r>
      <rPr>
        <sz val="10"/>
        <color indexed="8"/>
        <rFont val="Times New Roman"/>
        <family val="1"/>
      </rPr>
      <t xml:space="preserve">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</t>
    </r>
  </si>
  <si>
    <r>
      <t xml:space="preserve">                     </t>
    </r>
    <r>
      <rPr>
        <b/>
        <sz val="10"/>
        <color indexed="8"/>
        <rFont val="Times New Roman"/>
        <family val="1"/>
      </rPr>
      <t xml:space="preserve"> Субсидия</t>
    </r>
    <r>
      <rPr>
        <sz val="10"/>
        <color indexed="8"/>
        <rFont val="Times New Roman"/>
        <family val="1"/>
      </rPr>
      <t xml:space="preserve">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</t>
    </r>
  </si>
  <si>
    <t>Районная Дума</t>
  </si>
  <si>
    <t>% факт.финанс. от план. ассигн.</t>
  </si>
  <si>
    <r>
      <t xml:space="preserve">Субсидии местным бюджетам из областного бюджета на реализацию подпрограммы "Обеспечение жильем молодых семей" </t>
    </r>
    <r>
      <rPr>
        <b/>
        <sz val="11"/>
        <color indexed="8"/>
        <rFont val="Times New Roman"/>
        <family val="1"/>
      </rPr>
      <t>федеральной</t>
    </r>
    <r>
      <rPr>
        <sz val="10"/>
        <color indexed="8"/>
        <rFont val="Times New Roman"/>
        <family val="1"/>
      </rPr>
      <t xml:space="preserve"> целевой программы Жилище на 2011-2015 годы по остаткам 2014 года</t>
    </r>
  </si>
  <si>
    <t>0301510 ВР322 ДК 30081</t>
  </si>
  <si>
    <t>Предоставление социальных выплат молодым семьям на приобретение жилого помещения, в том числе эконом-класса, или строительство индивидуального жилого дома, в том числе эконом-класса по остаткам 2014 года (областной бюджет)</t>
  </si>
  <si>
    <t>Реализация государственной программы Кировской области "Развитие строительства и архитектуры"  (на Вихаревское с/п)</t>
  </si>
  <si>
    <t>0701503 ДК 3002</t>
  </si>
  <si>
    <t>00020202077050000151</t>
  </si>
  <si>
    <r>
      <t>Иные МБТ местным бюджетам,</t>
    </r>
    <r>
      <rPr>
        <sz val="10"/>
        <color indexed="8"/>
        <rFont val="Times New Roman"/>
        <family val="1"/>
      </rPr>
      <t xml:space="preserve"> направленные на стимулирование органов местного самоуправления по увеличению поступлений доходов в областной и местные бюджеты:</t>
    </r>
  </si>
  <si>
    <t>райфо (г/п)</t>
  </si>
  <si>
    <t>0110016130</t>
  </si>
  <si>
    <t>0110017010 ДП 2004</t>
  </si>
  <si>
    <t>0110017010ДП2005</t>
  </si>
  <si>
    <t>0110017010ДК2006</t>
  </si>
  <si>
    <t>0110017010 ДП 2007</t>
  </si>
  <si>
    <t>0110017010  ДП 2008</t>
  </si>
  <si>
    <t>0120016080 ДП 2002</t>
  </si>
  <si>
    <t>0120016080 ДП 2003</t>
  </si>
  <si>
    <t>01Б0016140</t>
  </si>
  <si>
    <t>0200016140</t>
  </si>
  <si>
    <t>01Б0016040</t>
  </si>
  <si>
    <t xml:space="preserve">0200016120 </t>
  </si>
  <si>
    <t>1020016050</t>
  </si>
  <si>
    <t>1100016050</t>
  </si>
  <si>
    <t>1100016060</t>
  </si>
  <si>
    <t>0700016030</t>
  </si>
  <si>
    <t>020001403А</t>
  </si>
  <si>
    <t>011001403А</t>
  </si>
  <si>
    <t>070001403А</t>
  </si>
  <si>
    <t>130001403А</t>
  </si>
  <si>
    <t>0110017140</t>
  </si>
  <si>
    <t>доп. 2009</t>
  </si>
  <si>
    <t>доп.2011</t>
  </si>
  <si>
    <t>1100016010</t>
  </si>
  <si>
    <t>Осуществление полномочий Российской Федерации по проведению Всероссийской сельскохозяйственной переписи в 2016 году</t>
  </si>
  <si>
    <t>0610016160</t>
  </si>
  <si>
    <t>0610016020 ДП 1511</t>
  </si>
  <si>
    <t xml:space="preserve">0610015110 </t>
  </si>
  <si>
    <t xml:space="preserve">01Б0015060 </t>
  </si>
  <si>
    <t>06Г0053910 ДК376</t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</si>
  <si>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на осуществление</t>
    </r>
  </si>
  <si>
    <t xml:space="preserve">                                  в т.ч. целевые</t>
  </si>
  <si>
    <t xml:space="preserve">                                  в т.ч. городское поселение всего:</t>
  </si>
  <si>
    <t xml:space="preserve">                                   сельские и городское поселения всего:</t>
  </si>
  <si>
    <t>00020203121050000151</t>
  </si>
  <si>
    <t>Расходы по администрированию</t>
  </si>
  <si>
    <t>00020202088050002151</t>
  </si>
  <si>
    <r>
      <t>Субвенции</t>
    </r>
    <r>
      <rPr>
        <sz val="10"/>
        <rFont val="Times New Roman"/>
        <family val="1"/>
      </rPr>
      <t xml:space="preserve">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муниципальных образовательных учреждений (за исключением совместителей), работающ</t>
    </r>
  </si>
  <si>
    <r>
      <t>Субвенция</t>
    </r>
    <r>
      <rPr>
        <sz val="10"/>
        <color indexed="8"/>
        <rFont val="Times New Roman"/>
        <family val="1"/>
      </rPr>
      <t xml:space="preserve"> на организацию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</t>
    </r>
  </si>
  <si>
    <t>Субвенции местным бюджетам из областного бюджета на осуществление отдельных государственных полномочий по защите населения от болезней, общих для человека и животных, в части организации и содержания скотомогильников (биотермических ям), ликвидации закрыт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</si>
  <si>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 по заявке 2016 года</t>
  </si>
  <si>
    <t>Субсидия местным бюджетам из областного бюджета на обеспечение мероприятий по переселению граждан из аварийного жилищного фонда за счет средств бюджетов по заявке 2016 года</t>
  </si>
  <si>
    <t xml:space="preserve">0120016094 </t>
  </si>
  <si>
    <t xml:space="preserve">                                  в т.ч. федеральные</t>
  </si>
  <si>
    <t xml:space="preserve">0900015080 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</si>
  <si>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                                                                                                           ф/б</t>
  </si>
  <si>
    <t>00020203112050000151</t>
  </si>
  <si>
    <t>Возмещение части процентной ставки по инвестиционным кредитам на строительство и реконструкцию объектов мясного скотоводства            ф/б</t>
  </si>
  <si>
    <t>пгт Кильмезь</t>
  </si>
  <si>
    <t>0700017170 ДК3000</t>
  </si>
  <si>
    <t>0700017050 ВР 540</t>
  </si>
  <si>
    <t>0610050520 ДК 044</t>
  </si>
  <si>
    <t>0610054440 ДК 856</t>
  </si>
  <si>
    <t>ц/с 01Б001403А</t>
  </si>
  <si>
    <t>ц/с 110001403А</t>
  </si>
  <si>
    <t>06100R4440</t>
  </si>
  <si>
    <t xml:space="preserve">06100R0520 </t>
  </si>
  <si>
    <t>Субвенции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</si>
  <si>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Субвенции на возмещение части процентной ставки по инвестиционным кредитам на строительство и реконструкцию объектов мясного скотоводства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</si>
  <si>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Санкт-Петербурга</t>
  </si>
  <si>
    <t>0200051440 ДК090</t>
  </si>
  <si>
    <t xml:space="preserve">Субсидия на софинансирование инвестиционных программ и проектов развития общественной инфраструктуры муниципальных образований в Кировской области  </t>
  </si>
  <si>
    <t xml:space="preserve">0700017170 </t>
  </si>
  <si>
    <t>Гранты на реализацию проекта "Народный бюджет"(средства 2016 года)</t>
  </si>
  <si>
    <t>Объемы межбюджетных трансфертов  на 2017 год</t>
  </si>
  <si>
    <t>Кильмезское г/п</t>
  </si>
  <si>
    <t>ДК2012</t>
  </si>
  <si>
    <t>ДК2013</t>
  </si>
  <si>
    <t>налог на имущество</t>
  </si>
  <si>
    <t>доплата до МРОТ по ставкам госстандарта</t>
  </si>
  <si>
    <t>000 2023511805 0000 151</t>
  </si>
  <si>
    <t>000 2023002405 0000 151</t>
  </si>
  <si>
    <t>000 2023002905 0000 151</t>
  </si>
  <si>
    <t>000 2023999905 0000 151</t>
  </si>
  <si>
    <t>000 2023002705 0000 151</t>
  </si>
  <si>
    <t>000 2022999905 0000151</t>
  </si>
  <si>
    <t>000 2021500105 0000 151</t>
  </si>
  <si>
    <t>0700051180 ДП 17-365</t>
  </si>
  <si>
    <t xml:space="preserve">          Возмещение части процентной ставки по инвестиционным кредитам (займам) в агропромышленном комплексе</t>
  </si>
  <si>
    <r>
      <t xml:space="preserve">               </t>
    </r>
    <r>
      <rPr>
        <b/>
        <sz val="10"/>
        <color indexed="8"/>
        <rFont val="Times New Roman"/>
        <family val="1"/>
      </rPr>
      <t>Субвенция</t>
    </r>
    <r>
      <rPr>
        <sz val="10"/>
        <color indexed="8"/>
        <rFont val="Times New Roman"/>
        <family val="1"/>
      </rPr>
      <t xml:space="preserve"> на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</t>
    </r>
  </si>
  <si>
    <t xml:space="preserve">Оплата стоимости питания детей в оздоровительных лагерях, организованных образовательными организациями, осуществляющими организацию отдыха и оздоровления обучающихся в каникулярное время  с дневным пребыванием </t>
  </si>
  <si>
    <t>000 2023554405 0000 151</t>
  </si>
  <si>
    <t>000 2023554305 0000 151</t>
  </si>
  <si>
    <t xml:space="preserve">02000R5580 ВР 244 КОСГУ 225 ДК </t>
  </si>
  <si>
    <r>
      <t>Субсидии</t>
    </r>
    <r>
      <rPr>
        <sz val="10"/>
        <rFont val="Times New Roman"/>
        <family val="1"/>
      </rPr>
      <t xml:space="preserve"> бюджетам муниципальных районов  на обеспечение развития и укрепления материально- технической базы муниципальных домов культуры, поддержку творческой деятельности муниципальных театров в городах численностью до 300 тысяч жителей  </t>
    </r>
    <r>
      <rPr>
        <b/>
        <sz val="10"/>
        <rFont val="Times New Roman"/>
        <family val="1"/>
      </rPr>
      <t xml:space="preserve">  обл.</t>
    </r>
  </si>
  <si>
    <r>
      <t>Субсидии</t>
    </r>
    <r>
      <rPr>
        <sz val="10"/>
        <rFont val="Times New Roman"/>
        <family val="1"/>
      </rPr>
      <t xml:space="preserve"> бюджетам муниципальных районов  на обеспечение развития и укрепления материально- технической базы муниципальных домов культуры, поддержку творческой деятельности муниципальных театров в городах численностью до 300 тысяч жителей    </t>
    </r>
    <r>
      <rPr>
        <b/>
        <sz val="10"/>
        <rFont val="Times New Roman"/>
        <family val="1"/>
      </rPr>
      <t>ф/б</t>
    </r>
  </si>
  <si>
    <t xml:space="preserve"> 000 2022555805 0000 151</t>
  </si>
  <si>
    <t>000 2022555805 0000 151</t>
  </si>
  <si>
    <t>06100R5440 ВР  811 КОСГУ 242 ДК 1528</t>
  </si>
  <si>
    <t>06100R5440 ВР  811 КОСГУ 242 ДК 1530</t>
  </si>
  <si>
    <t>06100R5430 ВР 811 КОСГУ 242 ДК 17-А12</t>
  </si>
  <si>
    <t>06100R5430 ВР 811 КОСГУ 242 ДК 1522</t>
  </si>
  <si>
    <t>06100R5440 ВР  811 КОСГУ 242 ДК 17-А35</t>
  </si>
  <si>
    <r>
      <t xml:space="preserve">Субвенции бюджетам муниципальных районов на возмещение части процентной ставки по инвестиционным кредитам (займам) в агропромышленном комплексе </t>
    </r>
    <r>
      <rPr>
        <b/>
        <sz val="9"/>
        <rFont val="Times New Roman"/>
        <family val="1"/>
      </rPr>
      <t>ф/б</t>
    </r>
  </si>
  <si>
    <t>01200N0820</t>
  </si>
  <si>
    <t>1100016020</t>
  </si>
  <si>
    <t xml:space="preserve">               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</si>
  <si>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               Возмещение части процентной ставки по инвестиционным кредитам (займам) на развитие растениеводства</t>
  </si>
  <si>
    <t xml:space="preserve">                Возмещение части процентной ставки по инвестиционным кредитам (займам) на развитие животноводства</t>
  </si>
  <si>
    <t xml:space="preserve">               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</si>
  <si>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 xml:space="preserve">Субвенции бюджетам муниципальных районов на содействие достижению целевых показателей реализации региональных программ развития агропромышленного комплекса                                                                                                    </t>
  </si>
  <si>
    <t>02000R5580 ВР 244 КОСГУ 225 ДК 17-998-00001</t>
  </si>
  <si>
    <t>0200015170</t>
  </si>
  <si>
    <t>адм.р-на</t>
  </si>
  <si>
    <t>кап.рем.клуба д.Азиково</t>
  </si>
  <si>
    <t xml:space="preserve">0900095020 ВР522 ДК </t>
  </si>
  <si>
    <t xml:space="preserve">0900096020 ВР522    ДК   </t>
  </si>
  <si>
    <t xml:space="preserve">НР 15170 </t>
  </si>
  <si>
    <t>1500051200 ДК 17-370</t>
  </si>
  <si>
    <t>00020235120050000151</t>
  </si>
  <si>
    <t>000 20229999050000151</t>
  </si>
  <si>
    <r>
      <t>Субсидия</t>
    </r>
    <r>
      <rPr>
        <sz val="10"/>
        <color indexed="8"/>
        <rFont val="Times New Roman"/>
        <family val="1"/>
      </rPr>
      <t xml:space="preserve"> на реализацию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общеобразовательных организациях</t>
    </r>
  </si>
  <si>
    <t>00020249999050000151</t>
  </si>
  <si>
    <r>
      <t xml:space="preserve">Субсидия </t>
    </r>
    <r>
      <rPr>
        <sz val="10"/>
        <color indexed="8"/>
        <rFont val="Times New Roman"/>
        <family val="1"/>
      </rPr>
      <t>местным бюджетам из областного бюджета на софинансирование расходных обязательств на предоставление социальных выплат молодым семьям на приобретение (строительство) жилья на 2017 год</t>
    </r>
  </si>
  <si>
    <t>03000R0200</t>
  </si>
  <si>
    <t>00020220051050000151</t>
  </si>
  <si>
    <r>
  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  </r>
    <r>
      <rPr>
        <b/>
        <sz val="10"/>
        <rFont val="Times New Roman"/>
        <family val="1"/>
      </rPr>
      <t xml:space="preserve"> ф/б</t>
    </r>
  </si>
  <si>
    <t>1020096020  ДК 3000</t>
  </si>
  <si>
    <t>1020095020 ДК 3000</t>
  </si>
  <si>
    <r>
      <t xml:space="preserve"> Субсидия местным бюджетам из областного бюджета на обеспечение мероприятий по переселению граждан из аварийного жилищного фонда (финансовая поддержка реформирования ЖКХ за счет средств областного бюджета) </t>
    </r>
    <r>
      <rPr>
        <b/>
        <sz val="9"/>
        <rFont val="Times New Roman"/>
        <family val="1"/>
      </rPr>
      <t>расходы за счет остатков 2016 года</t>
    </r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</si>
  <si>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</t>
  </si>
  <si>
    <r>
      <t xml:space="preserve"> Субсидия местным бюджетам из областного бюджета на обеспечение мероприятий по переселению граждан из аварийного жилищного фонда (финансовая поддержка реформирования ЖКХ за счет средств  Фонда содействия реформированию ЖКХ) </t>
    </r>
    <r>
      <rPr>
        <b/>
        <sz val="9"/>
        <rFont val="Times New Roman"/>
        <family val="1"/>
      </rPr>
      <t>расходы за счет остатков 2016 г</t>
    </r>
  </si>
  <si>
    <t>06100N5430</t>
  </si>
  <si>
    <t>000 2022551905 0000 151</t>
  </si>
  <si>
    <t xml:space="preserve">                Субсидия на поддержку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</t>
  </si>
  <si>
    <r>
      <t xml:space="preserve">Межбюджетные трансферты местным бюджетам , направленные на активизацию работы органов местного самоуправления городских и сельских поселений, городских округов области </t>
    </r>
    <r>
      <rPr>
        <b/>
        <sz val="9"/>
        <rFont val="Times New Roman"/>
        <family val="1"/>
      </rPr>
      <t>по введению самообложения граждан</t>
    </r>
    <r>
      <rPr>
        <sz val="9"/>
        <rFont val="Times New Roman"/>
        <family val="1"/>
      </rPr>
      <t xml:space="preserve"> по итогам 2016 года (Бураши 54900; Дамаскино 55950; З</t>
    </r>
  </si>
  <si>
    <t>ДК 2014</t>
  </si>
  <si>
    <t>зарплата раб.культ.</t>
  </si>
  <si>
    <t>ДК 2013</t>
  </si>
  <si>
    <t>Остаток на 01.10.2017 от фактического финансирования</t>
  </si>
  <si>
    <t>02000R5190 ДК 17-А09-00004</t>
  </si>
  <si>
    <t>в т.ч.переселение-19686370,15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</si>
</sst>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#,##0.00_р_."/>
    <numFmt numFmtId="172" formatCode="000000"/>
    <numFmt numFmtId="173" formatCode="[$-FC19]d\ mmmm\ yyyy\ &quot;г.&quot;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.5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9"/>
      <color indexed="10"/>
      <name val="Times New Roman"/>
      <family val="1"/>
    </font>
    <font>
      <sz val="11"/>
      <name val="Arial Cyr"/>
      <family val="0"/>
    </font>
    <font>
      <sz val="8"/>
      <color indexed="10"/>
      <name val="Arial Cyr"/>
      <family val="0"/>
    </font>
    <font>
      <sz val="11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8"/>
      <color indexed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6" borderId="0" applyNumberFormat="0" applyBorder="0" applyAlignment="0" applyProtection="0"/>
    <xf numFmtId="0" fontId="38" fillId="13" borderId="0" applyNumberFormat="0" applyBorder="0" applyAlignment="0" applyProtection="0"/>
    <xf numFmtId="0" fontId="39" fillId="0" borderId="0">
      <alignment/>
      <protection/>
    </xf>
    <xf numFmtId="0" fontId="40" fillId="14" borderId="1" applyNumberFormat="0" applyAlignment="0" applyProtection="0"/>
    <xf numFmtId="0" fontId="41" fillId="15" borderId="2" applyNumberFormat="0" applyAlignment="0" applyProtection="0"/>
    <xf numFmtId="0" fontId="39" fillId="0" borderId="0">
      <alignment/>
      <protection/>
    </xf>
    <xf numFmtId="0" fontId="42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1" applyNumberFormat="0" applyAlignment="0" applyProtection="0"/>
    <xf numFmtId="0" fontId="48" fillId="0" borderId="5" applyNumberFormat="0" applyFill="0" applyAlignment="0" applyProtection="0"/>
    <xf numFmtId="0" fontId="49" fillId="10" borderId="0" applyNumberFormat="0" applyBorder="0" applyAlignment="0" applyProtection="0"/>
    <xf numFmtId="0" fontId="39" fillId="3" borderId="6" applyNumberFormat="0" applyFont="0" applyAlignment="0" applyProtection="0"/>
    <xf numFmtId="0" fontId="50" fillId="14" borderId="7" applyNumberFormat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39" fillId="0" borderId="0">
      <alignment/>
      <protection/>
    </xf>
    <xf numFmtId="0" fontId="54" fillId="0" borderId="0" applyNumberFormat="0" applyFill="0" applyBorder="0" applyAlignment="0" applyProtection="0"/>
    <xf numFmtId="0" fontId="51" fillId="17" borderId="0">
      <alignment/>
      <protection/>
    </xf>
    <xf numFmtId="0" fontId="51" fillId="0" borderId="0">
      <alignment wrapText="1"/>
      <protection/>
    </xf>
    <xf numFmtId="0" fontId="51" fillId="0" borderId="0">
      <alignment/>
      <protection/>
    </xf>
    <xf numFmtId="0" fontId="55" fillId="0" borderId="0">
      <alignment horizontal="center" wrapText="1"/>
      <protection/>
    </xf>
    <xf numFmtId="0" fontId="55" fillId="0" borderId="0">
      <alignment horizontal="center"/>
      <protection/>
    </xf>
    <xf numFmtId="0" fontId="51" fillId="0" borderId="0">
      <alignment horizontal="right"/>
      <protection/>
    </xf>
    <xf numFmtId="0" fontId="51" fillId="17" borderId="9">
      <alignment/>
      <protection/>
    </xf>
    <xf numFmtId="0" fontId="51" fillId="0" borderId="10">
      <alignment horizontal="center" vertical="center" wrapText="1"/>
      <protection/>
    </xf>
    <xf numFmtId="0" fontId="51" fillId="17" borderId="11">
      <alignment/>
      <protection/>
    </xf>
    <xf numFmtId="49" fontId="51" fillId="0" borderId="10">
      <alignment horizontal="left" vertical="top" wrapText="1" indent="2"/>
      <protection/>
    </xf>
    <xf numFmtId="49" fontId="51" fillId="0" borderId="10">
      <alignment horizontal="center" vertical="top" shrinkToFit="1"/>
      <protection/>
    </xf>
    <xf numFmtId="4" fontId="51" fillId="0" borderId="10">
      <alignment horizontal="right" vertical="top" shrinkToFit="1"/>
      <protection/>
    </xf>
    <xf numFmtId="10" fontId="51" fillId="0" borderId="10">
      <alignment horizontal="right" vertical="top" shrinkToFit="1"/>
      <protection/>
    </xf>
    <xf numFmtId="0" fontId="51" fillId="17" borderId="11">
      <alignment shrinkToFit="1"/>
      <protection/>
    </xf>
    <xf numFmtId="0" fontId="56" fillId="0" borderId="10">
      <alignment horizontal="left"/>
      <protection/>
    </xf>
    <xf numFmtId="4" fontId="56" fillId="3" borderId="10">
      <alignment horizontal="right" vertical="top" shrinkToFit="1"/>
      <protection/>
    </xf>
    <xf numFmtId="10" fontId="56" fillId="3" borderId="10">
      <alignment horizontal="right" vertical="top" shrinkToFit="1"/>
      <protection/>
    </xf>
    <xf numFmtId="0" fontId="51" fillId="17" borderId="12">
      <alignment/>
      <protection/>
    </xf>
    <xf numFmtId="0" fontId="51" fillId="0" borderId="0">
      <alignment horizontal="left" wrapText="1"/>
      <protection/>
    </xf>
    <xf numFmtId="0" fontId="56" fillId="0" borderId="10">
      <alignment vertical="top" wrapText="1"/>
      <protection/>
    </xf>
    <xf numFmtId="4" fontId="56" fillId="8" borderId="10">
      <alignment horizontal="right" vertical="top" shrinkToFit="1"/>
      <protection/>
    </xf>
    <xf numFmtId="10" fontId="56" fillId="8" borderId="10">
      <alignment horizontal="right" vertical="top" shrinkToFit="1"/>
      <protection/>
    </xf>
    <xf numFmtId="0" fontId="51" fillId="17" borderId="11">
      <alignment horizontal="center"/>
      <protection/>
    </xf>
    <xf numFmtId="0" fontId="51" fillId="17" borderId="11">
      <alignment horizontal="left"/>
      <protection/>
    </xf>
    <xf numFmtId="0" fontId="51" fillId="17" borderId="12">
      <alignment horizontal="center"/>
      <protection/>
    </xf>
    <xf numFmtId="0" fontId="51" fillId="17" borderId="12">
      <alignment horizontal="left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8" borderId="0">
      <alignment/>
      <protection/>
    </xf>
    <xf numFmtId="0" fontId="22" fillId="18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3" xfId="0" applyFont="1" applyBorder="1" applyAlignment="1">
      <alignment wrapText="1"/>
    </xf>
    <xf numFmtId="49" fontId="4" fillId="0" borderId="13" xfId="0" applyNumberFormat="1" applyFont="1" applyFill="1" applyBorder="1" applyAlignment="1">
      <alignment horizontal="left" wrapText="1"/>
    </xf>
    <xf numFmtId="49" fontId="5" fillId="0" borderId="13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 applyProtection="1">
      <alignment/>
      <protection locked="0"/>
    </xf>
    <xf numFmtId="0" fontId="4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4" fontId="5" fillId="0" borderId="13" xfId="0" applyNumberFormat="1" applyFont="1" applyBorder="1" applyAlignment="1">
      <alignment wrapText="1"/>
    </xf>
    <xf numFmtId="11" fontId="9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49" fontId="15" fillId="0" borderId="13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13" fillId="0" borderId="13" xfId="0" applyFont="1" applyBorder="1" applyAlignment="1">
      <alignment horizontal="center" wrapText="1"/>
    </xf>
    <xf numFmtId="11" fontId="8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18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18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9" fillId="0" borderId="13" xfId="0" applyFont="1" applyFill="1" applyBorder="1" applyAlignment="1" applyProtection="1">
      <alignment wrapText="1"/>
      <protection locked="0"/>
    </xf>
    <xf numFmtId="0" fontId="10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10" fillId="14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7" fillId="0" borderId="13" xfId="0" applyNumberFormat="1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" fontId="21" fillId="0" borderId="13" xfId="0" applyNumberFormat="1" applyFont="1" applyBorder="1" applyAlignment="1">
      <alignment wrapText="1"/>
    </xf>
    <xf numFmtId="4" fontId="5" fillId="14" borderId="13" xfId="0" applyNumberFormat="1" applyFont="1" applyFill="1" applyBorder="1" applyAlignment="1">
      <alignment/>
    </xf>
    <xf numFmtId="49" fontId="10" fillId="14" borderId="13" xfId="0" applyNumberFormat="1" applyFont="1" applyFill="1" applyBorder="1" applyAlignment="1">
      <alignment horizontal="center" wrapText="1"/>
    </xf>
    <xf numFmtId="0" fontId="16" fillId="0" borderId="13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4" fontId="5" fillId="14" borderId="13" xfId="0" applyNumberFormat="1" applyFont="1" applyFill="1" applyBorder="1" applyAlignment="1">
      <alignment wrapText="1"/>
    </xf>
    <xf numFmtId="4" fontId="5" fillId="14" borderId="13" xfId="0" applyNumberFormat="1" applyFont="1" applyFill="1" applyBorder="1" applyAlignment="1">
      <alignment horizontal="right"/>
    </xf>
    <xf numFmtId="4" fontId="6" fillId="14" borderId="13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4" fontId="5" fillId="14" borderId="13" xfId="0" applyNumberFormat="1" applyFont="1" applyFill="1" applyBorder="1" applyAlignment="1">
      <alignment horizontal="right" shrinkToFit="1"/>
    </xf>
    <xf numFmtId="49" fontId="15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11" fontId="9" fillId="0" borderId="15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4" fontId="21" fillId="14" borderId="13" xfId="0" applyNumberFormat="1" applyFont="1" applyFill="1" applyBorder="1" applyAlignment="1">
      <alignment/>
    </xf>
    <xf numFmtId="4" fontId="21" fillId="14" borderId="13" xfId="0" applyNumberFormat="1" applyFont="1" applyFill="1" applyBorder="1" applyAlignment="1">
      <alignment wrapText="1"/>
    </xf>
    <xf numFmtId="4" fontId="5" fillId="14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left" wrapText="1"/>
    </xf>
    <xf numFmtId="0" fontId="9" fillId="0" borderId="13" xfId="0" applyNumberFormat="1" applyFont="1" applyFill="1" applyBorder="1" applyAlignment="1" applyProtection="1">
      <alignment wrapText="1"/>
      <protection locked="0"/>
    </xf>
    <xf numFmtId="0" fontId="4" fillId="16" borderId="13" xfId="0" applyFont="1" applyFill="1" applyBorder="1" applyAlignment="1">
      <alignment horizontal="center" vertical="center"/>
    </xf>
    <xf numFmtId="0" fontId="26" fillId="16" borderId="13" xfId="0" applyFont="1" applyFill="1" applyBorder="1" applyAlignment="1">
      <alignment horizontal="center" vertical="center" wrapText="1"/>
    </xf>
    <xf numFmtId="49" fontId="10" fillId="16" borderId="14" xfId="0" applyNumberFormat="1" applyFont="1" applyFill="1" applyBorder="1" applyAlignment="1">
      <alignment horizontal="center" wrapText="1"/>
    </xf>
    <xf numFmtId="0" fontId="27" fillId="16" borderId="13" xfId="0" applyFont="1" applyFill="1" applyBorder="1" applyAlignment="1">
      <alignment horizontal="center" vertical="center" wrapText="1"/>
    </xf>
    <xf numFmtId="0" fontId="26" fillId="16" borderId="13" xfId="0" applyFont="1" applyFill="1" applyBorder="1" applyAlignment="1">
      <alignment horizontal="center" wrapText="1"/>
    </xf>
    <xf numFmtId="49" fontId="26" fillId="16" borderId="13" xfId="0" applyNumberFormat="1" applyFont="1" applyFill="1" applyBorder="1" applyAlignment="1">
      <alignment horizontal="center" wrapText="1"/>
    </xf>
    <xf numFmtId="49" fontId="10" fillId="16" borderId="13" xfId="0" applyNumberFormat="1" applyFont="1" applyFill="1" applyBorder="1" applyAlignment="1">
      <alignment horizontal="center" wrapText="1"/>
    </xf>
    <xf numFmtId="0" fontId="10" fillId="16" borderId="13" xfId="0" applyFont="1" applyFill="1" applyBorder="1" applyAlignment="1">
      <alignment horizontal="center" wrapText="1"/>
    </xf>
    <xf numFmtId="0" fontId="8" fillId="18" borderId="10" xfId="0" applyFont="1" applyFill="1" applyBorder="1" applyAlignment="1">
      <alignment vertical="top" wrapText="1"/>
    </xf>
    <xf numFmtId="0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28" fillId="18" borderId="10" xfId="90" applyFont="1" applyFill="1" applyBorder="1" applyAlignment="1">
      <alignment vertical="top" wrapText="1"/>
      <protection/>
    </xf>
    <xf numFmtId="0" fontId="28" fillId="18" borderId="10" xfId="91" applyFont="1" applyFill="1" applyBorder="1" applyAlignment="1">
      <alignment vertical="top" wrapText="1"/>
      <protection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/>
    </xf>
    <xf numFmtId="0" fontId="24" fillId="0" borderId="0" xfId="0" applyFont="1" applyAlignment="1">
      <alignment horizontal="center" wrapText="1"/>
    </xf>
    <xf numFmtId="4" fontId="29" fillId="0" borderId="13" xfId="0" applyNumberFormat="1" applyFont="1" applyFill="1" applyBorder="1" applyAlignment="1">
      <alignment/>
    </xf>
    <xf numFmtId="0" fontId="10" fillId="16" borderId="13" xfId="0" applyFont="1" applyFill="1" applyBorder="1" applyAlignment="1">
      <alignment horizontal="right" wrapText="1"/>
    </xf>
    <xf numFmtId="0" fontId="10" fillId="16" borderId="13" xfId="0" applyFont="1" applyFill="1" applyBorder="1" applyAlignment="1">
      <alignment wrapText="1"/>
    </xf>
    <xf numFmtId="49" fontId="6" fillId="16" borderId="13" xfId="0" applyNumberFormat="1" applyFont="1" applyFill="1" applyBorder="1" applyAlignment="1">
      <alignment wrapText="1"/>
    </xf>
    <xf numFmtId="0" fontId="17" fillId="16" borderId="13" xfId="0" applyFont="1" applyFill="1" applyBorder="1" applyAlignment="1">
      <alignment horizontal="center" wrapText="1"/>
    </xf>
    <xf numFmtId="4" fontId="6" fillId="16" borderId="13" xfId="0" applyNumberFormat="1" applyFont="1" applyFill="1" applyBorder="1" applyAlignment="1">
      <alignment wrapText="1"/>
    </xf>
    <xf numFmtId="4" fontId="29" fillId="16" borderId="13" xfId="0" applyNumberFormat="1" applyFont="1" applyFill="1" applyBorder="1" applyAlignment="1">
      <alignment/>
    </xf>
    <xf numFmtId="2" fontId="7" fillId="14" borderId="13" xfId="0" applyNumberFormat="1" applyFont="1" applyFill="1" applyBorder="1" applyAlignment="1">
      <alignment/>
    </xf>
    <xf numFmtId="4" fontId="21" fillId="14" borderId="13" xfId="0" applyNumberFormat="1" applyFont="1" applyFill="1" applyBorder="1" applyAlignment="1">
      <alignment horizontal="right" shrinkToFit="1"/>
    </xf>
    <xf numFmtId="0" fontId="16" fillId="14" borderId="13" xfId="0" applyFont="1" applyFill="1" applyBorder="1" applyAlignment="1">
      <alignment/>
    </xf>
    <xf numFmtId="4" fontId="0" fillId="0" borderId="0" xfId="0" applyNumberFormat="1" applyAlignment="1">
      <alignment/>
    </xf>
    <xf numFmtId="4" fontId="20" fillId="14" borderId="13" xfId="0" applyNumberFormat="1" applyFont="1" applyFill="1" applyBorder="1" applyAlignment="1">
      <alignment horizontal="right"/>
    </xf>
    <xf numFmtId="4" fontId="6" fillId="14" borderId="13" xfId="0" applyNumberFormat="1" applyFont="1" applyFill="1" applyBorder="1" applyAlignment="1">
      <alignment horizontal="right"/>
    </xf>
    <xf numFmtId="4" fontId="5" fillId="14" borderId="13" xfId="0" applyNumberFormat="1" applyFont="1" applyFill="1" applyBorder="1" applyAlignment="1" applyProtection="1">
      <alignment/>
      <protection locked="0"/>
    </xf>
    <xf numFmtId="4" fontId="6" fillId="14" borderId="13" xfId="0" applyNumberFormat="1" applyFont="1" applyFill="1" applyBorder="1" applyAlignment="1">
      <alignment wrapText="1"/>
    </xf>
    <xf numFmtId="4" fontId="10" fillId="14" borderId="13" xfId="0" applyNumberFormat="1" applyFont="1" applyFill="1" applyBorder="1" applyAlignment="1">
      <alignment/>
    </xf>
    <xf numFmtId="4" fontId="6" fillId="14" borderId="13" xfId="0" applyNumberFormat="1" applyFont="1" applyFill="1" applyBorder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wrapText="1"/>
      <protection locked="0"/>
    </xf>
    <xf numFmtId="49" fontId="6" fillId="0" borderId="14" xfId="0" applyNumberFormat="1" applyFont="1" applyBorder="1" applyAlignment="1">
      <alignment horizontal="center" wrapText="1"/>
    </xf>
    <xf numFmtId="11" fontId="9" fillId="0" borderId="13" xfId="0" applyNumberFormat="1" applyFont="1" applyFill="1" applyBorder="1" applyAlignment="1">
      <alignment vertical="top" wrapText="1"/>
    </xf>
    <xf numFmtId="0" fontId="15" fillId="0" borderId="0" xfId="0" applyFont="1" applyAlignment="1">
      <alignment/>
    </xf>
    <xf numFmtId="4" fontId="21" fillId="14" borderId="13" xfId="0" applyNumberFormat="1" applyFont="1" applyFill="1" applyBorder="1" applyAlignment="1">
      <alignment horizontal="right"/>
    </xf>
    <xf numFmtId="4" fontId="25" fillId="14" borderId="13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left" wrapText="1"/>
    </xf>
    <xf numFmtId="0" fontId="9" fillId="18" borderId="18" xfId="0" applyFont="1" applyFill="1" applyBorder="1" applyAlignment="1">
      <alignment vertical="top" wrapText="1"/>
    </xf>
    <xf numFmtId="0" fontId="4" fillId="14" borderId="13" xfId="0" applyFont="1" applyFill="1" applyBorder="1" applyAlignment="1">
      <alignment horizontal="center" vertical="center"/>
    </xf>
    <xf numFmtId="4" fontId="4" fillId="14" borderId="13" xfId="0" applyNumberFormat="1" applyFont="1" applyFill="1" applyBorder="1" applyAlignment="1">
      <alignment/>
    </xf>
    <xf numFmtId="49" fontId="9" fillId="18" borderId="19" xfId="0" applyNumberFormat="1" applyFont="1" applyFill="1" applyBorder="1" applyAlignment="1">
      <alignment horizontal="center" vertical="center" wrapText="1" shrinkToFit="1"/>
    </xf>
    <xf numFmtId="0" fontId="6" fillId="14" borderId="13" xfId="0" applyFont="1" applyFill="1" applyBorder="1" applyAlignment="1">
      <alignment horizontal="center" wrapText="1"/>
    </xf>
    <xf numFmtId="49" fontId="10" fillId="14" borderId="14" xfId="0" applyNumberFormat="1" applyFont="1" applyFill="1" applyBorder="1" applyAlignment="1">
      <alignment horizontal="center" wrapText="1"/>
    </xf>
    <xf numFmtId="4" fontId="29" fillId="14" borderId="13" xfId="0" applyNumberFormat="1" applyFont="1" applyFill="1" applyBorder="1" applyAlignment="1">
      <alignment/>
    </xf>
    <xf numFmtId="0" fontId="5" fillId="14" borderId="13" xfId="0" applyFont="1" applyFill="1" applyBorder="1" applyAlignment="1">
      <alignment horizontal="center" wrapText="1"/>
    </xf>
    <xf numFmtId="4" fontId="31" fillId="14" borderId="13" xfId="0" applyNumberFormat="1" applyFont="1" applyFill="1" applyBorder="1" applyAlignment="1">
      <alignment/>
    </xf>
    <xf numFmtId="4" fontId="32" fillId="0" borderId="0" xfId="0" applyNumberFormat="1" applyFont="1" applyAlignment="1">
      <alignment/>
    </xf>
    <xf numFmtId="4" fontId="21" fillId="14" borderId="13" xfId="0" applyNumberFormat="1" applyFont="1" applyFill="1" applyBorder="1" applyAlignment="1" applyProtection="1">
      <alignment/>
      <protection locked="0"/>
    </xf>
    <xf numFmtId="4" fontId="17" fillId="14" borderId="13" xfId="0" applyNumberFormat="1" applyFont="1" applyFill="1" applyBorder="1" applyAlignment="1">
      <alignment/>
    </xf>
    <xf numFmtId="4" fontId="31" fillId="14" borderId="13" xfId="0" applyNumberFormat="1" applyFont="1" applyFill="1" applyBorder="1" applyAlignment="1" applyProtection="1">
      <alignment/>
      <protection locked="0"/>
    </xf>
    <xf numFmtId="49" fontId="9" fillId="18" borderId="13" xfId="0" applyNumberFormat="1" applyFont="1" applyFill="1" applyBorder="1" applyAlignment="1">
      <alignment horizontal="center" vertical="center" wrapText="1" shrinkToFit="1"/>
    </xf>
    <xf numFmtId="4" fontId="9" fillId="0" borderId="16" xfId="0" applyNumberFormat="1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left" wrapText="1"/>
      <protection locked="0"/>
    </xf>
    <xf numFmtId="0" fontId="9" fillId="0" borderId="21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33" fillId="0" borderId="0" xfId="0" applyFont="1" applyAlignment="1">
      <alignment/>
    </xf>
    <xf numFmtId="0" fontId="24" fillId="14" borderId="0" xfId="0" applyFont="1" applyFill="1" applyAlignment="1">
      <alignment/>
    </xf>
    <xf numFmtId="2" fontId="7" fillId="14" borderId="13" xfId="0" applyNumberFormat="1" applyFont="1" applyFill="1" applyBorder="1" applyAlignment="1">
      <alignment horizontal="center"/>
    </xf>
    <xf numFmtId="4" fontId="34" fillId="14" borderId="13" xfId="0" applyNumberFormat="1" applyFont="1" applyFill="1" applyBorder="1" applyAlignment="1">
      <alignment/>
    </xf>
    <xf numFmtId="49" fontId="31" fillId="14" borderId="13" xfId="0" applyNumberFormat="1" applyFont="1" applyFill="1" applyBorder="1" applyAlignment="1">
      <alignment horizontal="center" wrapText="1"/>
    </xf>
    <xf numFmtId="49" fontId="21" fillId="14" borderId="13" xfId="0" applyNumberFormat="1" applyFont="1" applyFill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49" fontId="21" fillId="14" borderId="13" xfId="0" applyNumberFormat="1" applyFont="1" applyFill="1" applyBorder="1" applyAlignment="1">
      <alignment horizontal="center"/>
    </xf>
    <xf numFmtId="49" fontId="31" fillId="0" borderId="13" xfId="0" applyNumberFormat="1" applyFont="1" applyBorder="1" applyAlignment="1">
      <alignment horizontal="center" wrapText="1"/>
    </xf>
    <xf numFmtId="49" fontId="31" fillId="16" borderId="13" xfId="0" applyNumberFormat="1" applyFont="1" applyFill="1" applyBorder="1" applyAlignment="1">
      <alignment horizontal="center" wrapText="1"/>
    </xf>
    <xf numFmtId="49" fontId="21" fillId="0" borderId="13" xfId="0" applyNumberFormat="1" applyFont="1" applyBorder="1" applyAlignment="1">
      <alignment horizontal="left" wrapText="1"/>
    </xf>
    <xf numFmtId="49" fontId="21" fillId="14" borderId="13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 applyProtection="1">
      <alignment horizontal="center" wrapText="1"/>
      <protection locked="0"/>
    </xf>
    <xf numFmtId="49" fontId="5" fillId="0" borderId="13" xfId="0" applyNumberFormat="1" applyFont="1" applyFill="1" applyBorder="1" applyAlignment="1" applyProtection="1">
      <alignment horizontal="centerContinuous" wrapText="1"/>
      <protection locked="0"/>
    </xf>
    <xf numFmtId="49" fontId="35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right" wrapText="1"/>
    </xf>
    <xf numFmtId="49" fontId="31" fillId="16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6" fillId="0" borderId="10" xfId="80" applyNumberFormat="1" applyProtection="1">
      <alignment vertical="top" wrapText="1"/>
      <protection/>
    </xf>
    <xf numFmtId="49" fontId="57" fillId="0" borderId="10" xfId="71" applyNumberFormat="1" applyFont="1" applyAlignment="1" applyProtection="1">
      <alignment horizontal="center" vertical="center" shrinkToFit="1"/>
      <protection/>
    </xf>
    <xf numFmtId="4" fontId="10" fillId="16" borderId="13" xfId="0" applyNumberFormat="1" applyFont="1" applyFill="1" applyBorder="1" applyAlignment="1">
      <alignment wrapText="1"/>
    </xf>
    <xf numFmtId="2" fontId="7" fillId="14" borderId="13" xfId="0" applyNumberFormat="1" applyFont="1" applyFill="1" applyBorder="1" applyAlignment="1">
      <alignment horizontal="right" shrinkToFit="1"/>
    </xf>
    <xf numFmtId="2" fontId="7" fillId="14" borderId="13" xfId="0" applyNumberFormat="1" applyFont="1" applyFill="1" applyBorder="1" applyAlignment="1" applyProtection="1">
      <alignment/>
      <protection locked="0"/>
    </xf>
    <xf numFmtId="4" fontId="10" fillId="16" borderId="13" xfId="0" applyNumberFormat="1" applyFont="1" applyFill="1" applyBorder="1" applyAlignment="1">
      <alignment/>
    </xf>
    <xf numFmtId="0" fontId="8" fillId="0" borderId="10" xfId="80" applyNumberFormat="1" applyFont="1" applyProtection="1">
      <alignment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wrapText="1"/>
      <protection locked="0"/>
    </xf>
    <xf numFmtId="0" fontId="28" fillId="0" borderId="10" xfId="80" applyNumberFormat="1" applyFont="1" applyProtection="1">
      <alignment vertical="top" wrapText="1"/>
      <protection/>
    </xf>
    <xf numFmtId="0" fontId="18" fillId="0" borderId="13" xfId="0" applyFont="1" applyBorder="1" applyAlignment="1">
      <alignment/>
    </xf>
    <xf numFmtId="0" fontId="15" fillId="0" borderId="13" xfId="0" applyFont="1" applyBorder="1" applyAlignment="1">
      <alignment/>
    </xf>
    <xf numFmtId="49" fontId="5" fillId="14" borderId="13" xfId="0" applyNumberFormat="1" applyFont="1" applyFill="1" applyBorder="1" applyAlignment="1">
      <alignment horizontal="center" wrapText="1"/>
    </xf>
    <xf numFmtId="0" fontId="24" fillId="14" borderId="13" xfId="0" applyFont="1" applyFill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" fontId="58" fillId="0" borderId="13" xfId="0" applyNumberFormat="1" applyFont="1" applyFill="1" applyBorder="1" applyAlignment="1">
      <alignment/>
    </xf>
    <xf numFmtId="4" fontId="59" fillId="14" borderId="13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49" fontId="5" fillId="0" borderId="13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49" fontId="10" fillId="18" borderId="19" xfId="0" applyNumberFormat="1" applyFont="1" applyFill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10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24" fillId="14" borderId="0" xfId="0" applyNumberFormat="1" applyFont="1" applyFill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Hyperlink" xfId="87"/>
    <cellStyle name="Currency" xfId="88"/>
    <cellStyle name="Currency [0]" xfId="89"/>
    <cellStyle name="Обычный_на 01.02.2015" xfId="90"/>
    <cellStyle name="Обычный_на 01.05.14 " xfId="91"/>
    <cellStyle name="Followed Hyperlink" xfId="92"/>
    <cellStyle name="Percent" xfId="93"/>
    <cellStyle name="Comma" xfId="94"/>
    <cellStyle name="Comma [0]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7"/>
  <dimension ref="A1:T178"/>
  <sheetViews>
    <sheetView tabSelected="1" zoomScaleSheetLayoutView="75" workbookViewId="0" topLeftCell="A1">
      <selection activeCell="Q4" sqref="Q4"/>
    </sheetView>
  </sheetViews>
  <sheetFormatPr defaultColWidth="9.00390625" defaultRowHeight="12.75"/>
  <cols>
    <col min="1" max="1" width="3.25390625" style="15" customWidth="1"/>
    <col min="2" max="2" width="63.375" style="1" customWidth="1"/>
    <col min="3" max="3" width="8.125" style="1" customWidth="1"/>
    <col min="4" max="4" width="19.625" style="16" customWidth="1"/>
    <col min="5" max="5" width="11.875" style="51" customWidth="1"/>
    <col min="6" max="6" width="13.125" style="1" customWidth="1"/>
    <col min="7" max="7" width="13.75390625" style="1" customWidth="1"/>
    <col min="8" max="8" width="13.375" style="1" customWidth="1"/>
    <col min="9" max="9" width="14.75390625" style="1" customWidth="1"/>
    <col min="10" max="10" width="7.875" style="1" customWidth="1"/>
    <col min="11" max="13" width="9.125" style="1" hidden="1" customWidth="1"/>
    <col min="14" max="14" width="6.00390625" style="1" hidden="1" customWidth="1"/>
    <col min="15" max="16" width="9.125" style="1" hidden="1" customWidth="1"/>
    <col min="17" max="17" width="15.25390625" style="1" customWidth="1"/>
    <col min="18" max="18" width="14.00390625" style="1" customWidth="1"/>
    <col min="19" max="19" width="13.00390625" style="1" customWidth="1"/>
    <col min="20" max="20" width="11.75390625" style="1" bestFit="1" customWidth="1"/>
    <col min="21" max="16384" width="9.125" style="1" customWidth="1"/>
  </cols>
  <sheetData>
    <row r="1" ht="12.75">
      <c r="I1" s="55"/>
    </row>
    <row r="2" spans="1:9" ht="15.75">
      <c r="A2" s="190" t="s">
        <v>230</v>
      </c>
      <c r="B2" s="190"/>
      <c r="C2" s="190"/>
      <c r="D2" s="190"/>
      <c r="E2" s="190"/>
      <c r="F2" s="190"/>
      <c r="G2" s="190"/>
      <c r="H2" s="190"/>
      <c r="I2" s="190"/>
    </row>
    <row r="3" spans="1:19" ht="68.25" customHeight="1">
      <c r="A3" s="20" t="s">
        <v>15</v>
      </c>
      <c r="B3" s="21" t="s">
        <v>16</v>
      </c>
      <c r="C3" s="21" t="s">
        <v>17</v>
      </c>
      <c r="D3" s="22" t="s">
        <v>18</v>
      </c>
      <c r="E3" s="45" t="s">
        <v>19</v>
      </c>
      <c r="F3" s="21" t="s">
        <v>20</v>
      </c>
      <c r="G3" s="21" t="s">
        <v>21</v>
      </c>
      <c r="H3" s="21" t="s">
        <v>22</v>
      </c>
      <c r="I3" s="21" t="s">
        <v>295</v>
      </c>
      <c r="J3" s="96" t="s">
        <v>157</v>
      </c>
      <c r="Q3" s="98"/>
      <c r="R3" s="66"/>
      <c r="S3" s="66"/>
    </row>
    <row r="4" spans="1:19" ht="28.5" customHeight="1">
      <c r="A4" s="20">
        <v>1</v>
      </c>
      <c r="B4" s="23" t="s">
        <v>74</v>
      </c>
      <c r="C4" s="94" t="s">
        <v>117</v>
      </c>
      <c r="D4" s="160" t="s">
        <v>236</v>
      </c>
      <c r="E4" s="46" t="s">
        <v>243</v>
      </c>
      <c r="F4" s="74">
        <f>F5+F6+F7+F8+F9+F10+F11+F12+F13+F14+F15+F16</f>
        <v>788400</v>
      </c>
      <c r="G4" s="74">
        <f>G5+G6+G7+G8+G9+G10+G11+G12+G13+G14+G15+G16</f>
        <v>591300</v>
      </c>
      <c r="H4" s="74">
        <f>H5+H6+H7+H8+H9+H10+H11+H12+H13+H14+H15+H16</f>
        <v>508096.79000000004</v>
      </c>
      <c r="I4" s="112">
        <f aca="true" t="shared" si="0" ref="I4:I33">G4-H4</f>
        <v>83203.20999999996</v>
      </c>
      <c r="J4" s="97">
        <f>G4/F4*100</f>
        <v>75</v>
      </c>
      <c r="Q4" s="2"/>
      <c r="R4" s="74"/>
      <c r="S4" s="64"/>
    </row>
    <row r="5" spans="1:19" ht="12" customHeight="1">
      <c r="A5" s="20"/>
      <c r="B5" s="71" t="s">
        <v>118</v>
      </c>
      <c r="C5" s="94"/>
      <c r="D5" s="151"/>
      <c r="E5" s="47"/>
      <c r="F5" s="148">
        <v>58400</v>
      </c>
      <c r="G5" s="106">
        <f aca="true" t="shared" si="1" ref="G5:G15">4866+9734+14600+14600</f>
        <v>43800</v>
      </c>
      <c r="H5" s="169">
        <v>35153.59</v>
      </c>
      <c r="I5" s="170">
        <f t="shared" si="0"/>
        <v>8646.410000000003</v>
      </c>
      <c r="J5" s="97"/>
      <c r="Q5" s="2"/>
      <c r="R5" s="65"/>
      <c r="S5" s="64"/>
    </row>
    <row r="6" spans="1:19" ht="11.25" customHeight="1">
      <c r="A6" s="20"/>
      <c r="B6" s="71" t="s">
        <v>119</v>
      </c>
      <c r="C6" s="94"/>
      <c r="D6" s="151"/>
      <c r="E6" s="47"/>
      <c r="F6" s="148">
        <v>58400</v>
      </c>
      <c r="G6" s="106">
        <f t="shared" si="1"/>
        <v>43800</v>
      </c>
      <c r="H6" s="169">
        <v>35636.49</v>
      </c>
      <c r="I6" s="170">
        <f t="shared" si="0"/>
        <v>8163.510000000002</v>
      </c>
      <c r="J6" s="97"/>
      <c r="Q6" s="2"/>
      <c r="R6" s="65"/>
      <c r="S6" s="64"/>
    </row>
    <row r="7" spans="1:19" ht="11.25" customHeight="1">
      <c r="A7" s="20"/>
      <c r="B7" s="71" t="s">
        <v>120</v>
      </c>
      <c r="C7" s="94"/>
      <c r="D7" s="151"/>
      <c r="E7" s="47"/>
      <c r="F7" s="148">
        <v>58400</v>
      </c>
      <c r="G7" s="106">
        <f t="shared" si="1"/>
        <v>43800</v>
      </c>
      <c r="H7" s="169">
        <v>32081.1</v>
      </c>
      <c r="I7" s="170">
        <f t="shared" si="0"/>
        <v>11718.900000000001</v>
      </c>
      <c r="J7" s="97"/>
      <c r="Q7" s="2"/>
      <c r="R7" s="65"/>
      <c r="S7" s="64"/>
    </row>
    <row r="8" spans="1:19" ht="12" customHeight="1">
      <c r="A8" s="20"/>
      <c r="B8" s="71" t="s">
        <v>121</v>
      </c>
      <c r="C8" s="94"/>
      <c r="D8" s="151"/>
      <c r="E8" s="47"/>
      <c r="F8" s="148">
        <v>58400</v>
      </c>
      <c r="G8" s="106">
        <f t="shared" si="1"/>
        <v>43800</v>
      </c>
      <c r="H8" s="169">
        <v>29490.37</v>
      </c>
      <c r="I8" s="170">
        <f t="shared" si="0"/>
        <v>14309.630000000001</v>
      </c>
      <c r="J8" s="97"/>
      <c r="Q8" s="2"/>
      <c r="R8" s="65"/>
      <c r="S8" s="64"/>
    </row>
    <row r="9" spans="1:19" ht="13.5" customHeight="1">
      <c r="A9" s="20"/>
      <c r="B9" s="71" t="s">
        <v>122</v>
      </c>
      <c r="C9" s="94"/>
      <c r="D9" s="151"/>
      <c r="E9" s="47"/>
      <c r="F9" s="148">
        <v>58400</v>
      </c>
      <c r="G9" s="106">
        <f t="shared" si="1"/>
        <v>43800</v>
      </c>
      <c r="H9" s="169">
        <v>37203</v>
      </c>
      <c r="I9" s="170">
        <f t="shared" si="0"/>
        <v>6597</v>
      </c>
      <c r="J9" s="97"/>
      <c r="Q9" s="2"/>
      <c r="R9" s="65"/>
      <c r="S9" s="64"/>
    </row>
    <row r="10" spans="1:19" ht="12.75" customHeight="1">
      <c r="A10" s="20"/>
      <c r="B10" s="71" t="s">
        <v>123</v>
      </c>
      <c r="C10" s="94"/>
      <c r="D10" s="151"/>
      <c r="E10" s="47"/>
      <c r="F10" s="148">
        <v>58400</v>
      </c>
      <c r="G10" s="106">
        <f t="shared" si="1"/>
        <v>43800</v>
      </c>
      <c r="H10" s="169">
        <v>36531.41</v>
      </c>
      <c r="I10" s="170">
        <f t="shared" si="0"/>
        <v>7268.5899999999965</v>
      </c>
      <c r="J10" s="97"/>
      <c r="Q10" s="2"/>
      <c r="R10" s="65"/>
      <c r="S10" s="64"/>
    </row>
    <row r="11" spans="1:19" ht="11.25" customHeight="1">
      <c r="A11" s="20"/>
      <c r="B11" s="71" t="s">
        <v>124</v>
      </c>
      <c r="C11" s="94"/>
      <c r="D11" s="151"/>
      <c r="E11" s="47"/>
      <c r="F11" s="148">
        <v>58400</v>
      </c>
      <c r="G11" s="106">
        <f t="shared" si="1"/>
        <v>43800</v>
      </c>
      <c r="H11" s="169">
        <v>39308.3</v>
      </c>
      <c r="I11" s="170">
        <f t="shared" si="0"/>
        <v>4491.699999999997</v>
      </c>
      <c r="J11" s="97"/>
      <c r="Q11" s="2"/>
      <c r="R11" s="65"/>
      <c r="S11" s="64"/>
    </row>
    <row r="12" spans="1:19" ht="12.75" customHeight="1">
      <c r="A12" s="20"/>
      <c r="B12" s="71" t="s">
        <v>125</v>
      </c>
      <c r="C12" s="94"/>
      <c r="D12" s="151"/>
      <c r="E12" s="47"/>
      <c r="F12" s="148">
        <v>58400</v>
      </c>
      <c r="G12" s="106">
        <f t="shared" si="1"/>
        <v>43800</v>
      </c>
      <c r="H12" s="169">
        <v>37947.09</v>
      </c>
      <c r="I12" s="170">
        <f t="shared" si="0"/>
        <v>5852.9100000000035</v>
      </c>
      <c r="J12" s="97"/>
      <c r="Q12" s="2"/>
      <c r="R12" s="65"/>
      <c r="S12" s="64"/>
    </row>
    <row r="13" spans="1:19" ht="12" customHeight="1">
      <c r="A13" s="20"/>
      <c r="B13" s="71" t="s">
        <v>126</v>
      </c>
      <c r="C13" s="94"/>
      <c r="D13" s="151"/>
      <c r="E13" s="47"/>
      <c r="F13" s="148">
        <v>58400</v>
      </c>
      <c r="G13" s="106">
        <f t="shared" si="1"/>
        <v>43800</v>
      </c>
      <c r="H13" s="169">
        <v>34312.69</v>
      </c>
      <c r="I13" s="170">
        <f t="shared" si="0"/>
        <v>9487.309999999998</v>
      </c>
      <c r="J13" s="97"/>
      <c r="Q13" s="2"/>
      <c r="R13" s="65"/>
      <c r="S13" s="64"/>
    </row>
    <row r="14" spans="1:19" ht="12.75" customHeight="1">
      <c r="A14" s="20"/>
      <c r="B14" s="71" t="s">
        <v>127</v>
      </c>
      <c r="C14" s="94"/>
      <c r="D14" s="151"/>
      <c r="E14" s="47"/>
      <c r="F14" s="148">
        <v>58400</v>
      </c>
      <c r="G14" s="106">
        <f t="shared" si="1"/>
        <v>43800</v>
      </c>
      <c r="H14" s="169">
        <v>42085.58</v>
      </c>
      <c r="I14" s="170">
        <f t="shared" si="0"/>
        <v>1714.4199999999983</v>
      </c>
      <c r="J14" s="97"/>
      <c r="Q14" s="2"/>
      <c r="R14" s="65"/>
      <c r="S14" s="64"/>
    </row>
    <row r="15" spans="1:19" ht="14.25" customHeight="1">
      <c r="A15" s="20"/>
      <c r="B15" s="71" t="s">
        <v>128</v>
      </c>
      <c r="C15" s="94"/>
      <c r="D15" s="151"/>
      <c r="E15" s="47"/>
      <c r="F15" s="148">
        <v>58400</v>
      </c>
      <c r="G15" s="106">
        <f t="shared" si="1"/>
        <v>43800</v>
      </c>
      <c r="H15" s="169">
        <v>39321.96</v>
      </c>
      <c r="I15" s="170">
        <f t="shared" si="0"/>
        <v>4478.040000000001</v>
      </c>
      <c r="J15" s="97"/>
      <c r="Q15" s="2"/>
      <c r="R15" s="65"/>
      <c r="S15" s="64"/>
    </row>
    <row r="16" spans="1:19" ht="13.5" customHeight="1">
      <c r="A16" s="20"/>
      <c r="B16" s="71" t="s">
        <v>231</v>
      </c>
      <c r="C16" s="94"/>
      <c r="D16" s="151"/>
      <c r="E16" s="47"/>
      <c r="F16" s="148">
        <v>146000</v>
      </c>
      <c r="G16" s="106">
        <f>12474+24026+36500+36500</f>
        <v>109500</v>
      </c>
      <c r="H16" s="169">
        <v>109025.21</v>
      </c>
      <c r="I16" s="170">
        <f t="shared" si="0"/>
        <v>474.7899999999936</v>
      </c>
      <c r="J16" s="97"/>
      <c r="Q16" s="2"/>
      <c r="R16" s="65"/>
      <c r="S16" s="64"/>
    </row>
    <row r="17" spans="1:19" ht="34.5" customHeight="1">
      <c r="A17" s="20"/>
      <c r="B17" s="23" t="s">
        <v>23</v>
      </c>
      <c r="C17" s="94" t="s">
        <v>24</v>
      </c>
      <c r="D17" s="178" t="s">
        <v>275</v>
      </c>
      <c r="E17" s="47" t="s">
        <v>274</v>
      </c>
      <c r="F17" s="57">
        <v>420</v>
      </c>
      <c r="G17" s="57">
        <v>420</v>
      </c>
      <c r="H17" s="67">
        <v>420</v>
      </c>
      <c r="I17" s="112">
        <f t="shared" si="0"/>
        <v>0</v>
      </c>
      <c r="J17" s="97">
        <f aca="true" t="shared" si="2" ref="J17:J29">G17/F17*100</f>
        <v>100</v>
      </c>
      <c r="Q17" s="2"/>
      <c r="R17" s="65"/>
      <c r="S17" s="64"/>
    </row>
    <row r="18" spans="1:19" ht="54" customHeight="1">
      <c r="A18" s="20"/>
      <c r="B18" s="143" t="s">
        <v>282</v>
      </c>
      <c r="C18" s="11" t="s">
        <v>41</v>
      </c>
      <c r="D18" s="141" t="s">
        <v>247</v>
      </c>
      <c r="E18" s="46" t="s">
        <v>258</v>
      </c>
      <c r="F18" s="61">
        <f>2200000+240000+420000-699790+624000</f>
        <v>2784210</v>
      </c>
      <c r="G18" s="62">
        <f>1588735+190682+168229+337066+299718</f>
        <v>2584430</v>
      </c>
      <c r="H18" s="57">
        <v>2584430</v>
      </c>
      <c r="I18" s="57">
        <f t="shared" si="0"/>
        <v>0</v>
      </c>
      <c r="J18" s="97">
        <f t="shared" si="2"/>
        <v>92.82453550558327</v>
      </c>
      <c r="Q18" s="2"/>
      <c r="R18" s="65"/>
      <c r="S18" s="64"/>
    </row>
    <row r="19" spans="1:19" ht="51.75" customHeight="1" hidden="1">
      <c r="A19" s="20"/>
      <c r="B19" s="173" t="s">
        <v>259</v>
      </c>
      <c r="C19" s="11" t="s">
        <v>41</v>
      </c>
      <c r="D19" s="141" t="s">
        <v>247</v>
      </c>
      <c r="E19" s="46" t="s">
        <v>258</v>
      </c>
      <c r="F19" s="61">
        <f>240000-240000</f>
        <v>0</v>
      </c>
      <c r="G19" s="120"/>
      <c r="H19" s="72"/>
      <c r="I19" s="72">
        <f t="shared" si="0"/>
        <v>0</v>
      </c>
      <c r="J19" s="97" t="e">
        <f t="shared" si="2"/>
        <v>#DIV/0!</v>
      </c>
      <c r="Q19" s="2"/>
      <c r="R19" s="65"/>
      <c r="S19" s="64"/>
    </row>
    <row r="20" spans="1:19" ht="54" customHeight="1" hidden="1">
      <c r="A20" s="20"/>
      <c r="B20" s="173" t="s">
        <v>259</v>
      </c>
      <c r="C20" s="11" t="s">
        <v>41</v>
      </c>
      <c r="D20" s="141" t="s">
        <v>247</v>
      </c>
      <c r="E20" s="46" t="s">
        <v>258</v>
      </c>
      <c r="F20" s="61">
        <f>420000-420000</f>
        <v>0</v>
      </c>
      <c r="G20" s="120"/>
      <c r="H20" s="72"/>
      <c r="I20" s="72">
        <f t="shared" si="0"/>
        <v>0</v>
      </c>
      <c r="J20" s="97" t="e">
        <f t="shared" si="2"/>
        <v>#DIV/0!</v>
      </c>
      <c r="Q20" s="2"/>
      <c r="R20" s="65"/>
      <c r="S20" s="64"/>
    </row>
    <row r="21" spans="1:19" ht="48.75" customHeight="1" hidden="1">
      <c r="A21" s="20"/>
      <c r="B21" s="172" t="s">
        <v>263</v>
      </c>
      <c r="C21" s="11" t="s">
        <v>41</v>
      </c>
      <c r="D21" s="141" t="s">
        <v>247</v>
      </c>
      <c r="E21" s="46" t="s">
        <v>258</v>
      </c>
      <c r="F21" s="57">
        <f>448000+34000+142000-624000</f>
        <v>0</v>
      </c>
      <c r="G21" s="72"/>
      <c r="H21" s="72"/>
      <c r="I21" s="72">
        <f t="shared" si="0"/>
        <v>0</v>
      </c>
      <c r="J21" s="97" t="e">
        <f t="shared" si="2"/>
        <v>#DIV/0!</v>
      </c>
      <c r="Q21" s="2"/>
      <c r="R21" s="65"/>
      <c r="S21" s="64"/>
    </row>
    <row r="22" spans="1:19" ht="55.5" customHeight="1" hidden="1">
      <c r="A22" s="20"/>
      <c r="B22" s="175" t="s">
        <v>264</v>
      </c>
      <c r="C22" s="11" t="s">
        <v>41</v>
      </c>
      <c r="D22" s="141" t="s">
        <v>247</v>
      </c>
      <c r="E22" s="46" t="s">
        <v>254</v>
      </c>
      <c r="F22" s="57">
        <f>34000-34000</f>
        <v>0</v>
      </c>
      <c r="G22" s="72"/>
      <c r="H22" s="72"/>
      <c r="I22" s="72">
        <f t="shared" si="0"/>
        <v>0</v>
      </c>
      <c r="J22" s="97" t="e">
        <f t="shared" si="2"/>
        <v>#DIV/0!</v>
      </c>
      <c r="Q22" s="2"/>
      <c r="R22" s="147"/>
      <c r="S22" s="64"/>
    </row>
    <row r="23" spans="1:19" ht="56.25" customHeight="1" hidden="1">
      <c r="A23" s="20"/>
      <c r="B23" s="175" t="s">
        <v>265</v>
      </c>
      <c r="C23" s="11" t="s">
        <v>41</v>
      </c>
      <c r="D23" s="141" t="s">
        <v>247</v>
      </c>
      <c r="E23" s="46" t="s">
        <v>255</v>
      </c>
      <c r="F23" s="57">
        <f>142000-142000</f>
        <v>0</v>
      </c>
      <c r="G23" s="72"/>
      <c r="H23" s="72"/>
      <c r="I23" s="72">
        <f t="shared" si="0"/>
        <v>0</v>
      </c>
      <c r="J23" s="97" t="e">
        <f t="shared" si="2"/>
        <v>#DIV/0!</v>
      </c>
      <c r="Q23" s="2"/>
      <c r="R23" s="65"/>
      <c r="S23" s="64"/>
    </row>
    <row r="24" spans="1:19" ht="50.25" customHeight="1">
      <c r="A24" s="20"/>
      <c r="B24" s="143" t="s">
        <v>266</v>
      </c>
      <c r="C24" s="11" t="s">
        <v>42</v>
      </c>
      <c r="D24" s="141" t="s">
        <v>248</v>
      </c>
      <c r="E24" s="46" t="s">
        <v>256</v>
      </c>
      <c r="F24" s="57">
        <f>20000+6000-730-6</f>
        <v>25264</v>
      </c>
      <c r="G24" s="57">
        <f>13315</f>
        <v>13315</v>
      </c>
      <c r="H24" s="57">
        <v>13315</v>
      </c>
      <c r="I24" s="112">
        <f t="shared" si="0"/>
        <v>0</v>
      </c>
      <c r="J24" s="97">
        <f t="shared" si="2"/>
        <v>52.70345155161495</v>
      </c>
      <c r="Q24" s="2"/>
      <c r="S24" s="64"/>
    </row>
    <row r="25" spans="1:19" ht="56.25" customHeight="1" hidden="1">
      <c r="A25" s="20"/>
      <c r="B25" s="175" t="s">
        <v>262</v>
      </c>
      <c r="C25" s="11" t="s">
        <v>42</v>
      </c>
      <c r="D25" s="141" t="s">
        <v>248</v>
      </c>
      <c r="E25" s="46" t="s">
        <v>257</v>
      </c>
      <c r="F25" s="57">
        <f>6000-6000</f>
        <v>0</v>
      </c>
      <c r="G25" s="72"/>
      <c r="H25" s="72"/>
      <c r="I25" s="72">
        <f t="shared" si="0"/>
        <v>0</v>
      </c>
      <c r="J25" s="97" t="e">
        <f t="shared" si="2"/>
        <v>#DIV/0!</v>
      </c>
      <c r="Q25" s="2"/>
      <c r="R25" s="65"/>
      <c r="S25" s="64"/>
    </row>
    <row r="26" spans="1:19" ht="0.75" customHeight="1" hidden="1">
      <c r="A26" s="20"/>
      <c r="B26" s="125" t="s">
        <v>211</v>
      </c>
      <c r="C26" s="41" t="s">
        <v>91</v>
      </c>
      <c r="D26" s="153" t="s">
        <v>104</v>
      </c>
      <c r="E26" s="128" t="s">
        <v>218</v>
      </c>
      <c r="F26" s="73"/>
      <c r="G26" s="72"/>
      <c r="H26" s="72"/>
      <c r="I26" s="72">
        <f t="shared" si="0"/>
        <v>0</v>
      </c>
      <c r="J26" s="97" t="e">
        <f t="shared" si="2"/>
        <v>#DIV/0!</v>
      </c>
      <c r="Q26" s="2"/>
      <c r="R26" s="65"/>
      <c r="S26" s="64"/>
    </row>
    <row r="27" spans="1:19" ht="39" customHeight="1" hidden="1">
      <c r="A27" s="20"/>
      <c r="B27" s="139" t="s">
        <v>223</v>
      </c>
      <c r="C27" s="11" t="s">
        <v>44</v>
      </c>
      <c r="D27" s="152" t="s">
        <v>104</v>
      </c>
      <c r="E27" s="138" t="s">
        <v>221</v>
      </c>
      <c r="F27" s="72"/>
      <c r="G27" s="72"/>
      <c r="H27" s="72"/>
      <c r="I27" s="72">
        <f t="shared" si="0"/>
        <v>0</v>
      </c>
      <c r="J27" s="97" t="e">
        <f t="shared" si="2"/>
        <v>#DIV/0!</v>
      </c>
      <c r="Q27" s="2"/>
      <c r="S27" s="64"/>
    </row>
    <row r="28" spans="1:19" ht="35.25" customHeight="1" hidden="1">
      <c r="A28" s="20"/>
      <c r="B28" s="125" t="s">
        <v>213</v>
      </c>
      <c r="C28" s="11" t="s">
        <v>44</v>
      </c>
      <c r="D28" s="152" t="s">
        <v>212</v>
      </c>
      <c r="E28" s="138" t="s">
        <v>217</v>
      </c>
      <c r="F28" s="72"/>
      <c r="G28" s="72"/>
      <c r="H28" s="72"/>
      <c r="I28" s="72">
        <f t="shared" si="0"/>
        <v>0</v>
      </c>
      <c r="J28" s="97" t="e">
        <f t="shared" si="2"/>
        <v>#DIV/0!</v>
      </c>
      <c r="Q28" s="2"/>
      <c r="S28" s="64"/>
    </row>
    <row r="29" spans="1:19" ht="33" customHeight="1" hidden="1">
      <c r="A29" s="20"/>
      <c r="B29" s="140" t="s">
        <v>224</v>
      </c>
      <c r="C29" s="11" t="s">
        <v>44</v>
      </c>
      <c r="D29" s="152" t="s">
        <v>212</v>
      </c>
      <c r="E29" s="138" t="s">
        <v>222</v>
      </c>
      <c r="F29" s="72"/>
      <c r="G29" s="72"/>
      <c r="H29" s="72"/>
      <c r="I29" s="72">
        <f t="shared" si="0"/>
        <v>0</v>
      </c>
      <c r="J29" s="97" t="e">
        <f t="shared" si="2"/>
        <v>#DIV/0!</v>
      </c>
      <c r="Q29" s="2"/>
      <c r="S29" s="64"/>
    </row>
    <row r="30" spans="1:19" ht="48.75" customHeight="1">
      <c r="A30" s="20"/>
      <c r="B30" s="166" t="s">
        <v>0</v>
      </c>
      <c r="C30" s="11"/>
      <c r="D30" s="141" t="s">
        <v>248</v>
      </c>
      <c r="E30" s="167" t="s">
        <v>288</v>
      </c>
      <c r="F30" s="57">
        <f>5700+36</f>
        <v>5736</v>
      </c>
      <c r="G30" s="72"/>
      <c r="H30" s="72"/>
      <c r="I30" s="57">
        <f t="shared" si="0"/>
        <v>0</v>
      </c>
      <c r="J30" s="97"/>
      <c r="Q30" s="2"/>
      <c r="S30" s="64"/>
    </row>
    <row r="31" spans="1:19" ht="41.25" customHeight="1">
      <c r="A31" s="20"/>
      <c r="B31" s="166" t="s">
        <v>244</v>
      </c>
      <c r="C31" s="11"/>
      <c r="D31" s="141" t="s">
        <v>247</v>
      </c>
      <c r="E31" s="167" t="s">
        <v>1</v>
      </c>
      <c r="F31" s="57">
        <v>400800</v>
      </c>
      <c r="G31" s="57">
        <f>247346+60118</f>
        <v>307464</v>
      </c>
      <c r="H31" s="57">
        <v>307464</v>
      </c>
      <c r="I31" s="57">
        <f t="shared" si="0"/>
        <v>0</v>
      </c>
      <c r="J31" s="97"/>
      <c r="Q31" s="2"/>
      <c r="S31" s="64"/>
    </row>
    <row r="32" spans="1:19" ht="84" customHeight="1">
      <c r="A32" s="20"/>
      <c r="B32" s="186" t="s">
        <v>286</v>
      </c>
      <c r="C32" s="11" t="s">
        <v>136</v>
      </c>
      <c r="D32" s="165" t="s">
        <v>6</v>
      </c>
      <c r="E32" s="58" t="s">
        <v>260</v>
      </c>
      <c r="F32" s="57">
        <f>8736000-5208400</f>
        <v>3527600</v>
      </c>
      <c r="G32" s="57">
        <f>624000+705510</f>
        <v>1329510</v>
      </c>
      <c r="H32" s="57">
        <v>1329510</v>
      </c>
      <c r="I32" s="112">
        <f t="shared" si="0"/>
        <v>0</v>
      </c>
      <c r="J32" s="97">
        <f aca="true" t="shared" si="3" ref="J32:J73">G32/F32*100</f>
        <v>37.68879691575008</v>
      </c>
      <c r="Q32" s="2"/>
      <c r="R32" s="146"/>
      <c r="S32" s="64"/>
    </row>
    <row r="33" spans="1:19" ht="24" customHeight="1">
      <c r="A33" s="20"/>
      <c r="B33" s="75" t="s">
        <v>201</v>
      </c>
      <c r="C33" s="11" t="s">
        <v>136</v>
      </c>
      <c r="D33" s="165" t="s">
        <v>6</v>
      </c>
      <c r="E33" s="58" t="s">
        <v>208</v>
      </c>
      <c r="F33" s="57">
        <f>43700-26100</f>
        <v>17600</v>
      </c>
      <c r="G33" s="57">
        <f>3120+3527.55</f>
        <v>6647.55</v>
      </c>
      <c r="H33" s="57">
        <v>6647.55</v>
      </c>
      <c r="I33" s="112">
        <f t="shared" si="0"/>
        <v>0</v>
      </c>
      <c r="J33" s="97">
        <f t="shared" si="3"/>
        <v>37.77017045454546</v>
      </c>
      <c r="Q33" s="2"/>
      <c r="R33" s="146"/>
      <c r="S33" s="64"/>
    </row>
    <row r="34" spans="1:17" ht="27" customHeight="1">
      <c r="A34" s="20"/>
      <c r="B34" s="194" t="s">
        <v>90</v>
      </c>
      <c r="C34" s="11"/>
      <c r="D34" s="160" t="s">
        <v>237</v>
      </c>
      <c r="E34" s="46" t="s">
        <v>177</v>
      </c>
      <c r="F34" s="63">
        <f>F35+F36+F37</f>
        <v>430000</v>
      </c>
      <c r="G34" s="63">
        <f>G35+G36+G37</f>
        <v>342888</v>
      </c>
      <c r="H34" s="63">
        <f>H35+H36+H37</f>
        <v>342888</v>
      </c>
      <c r="I34" s="63">
        <f>I35+I36+I37</f>
        <v>0</v>
      </c>
      <c r="J34" s="97">
        <f t="shared" si="3"/>
        <v>79.7413953488372</v>
      </c>
      <c r="Q34" s="2"/>
    </row>
    <row r="35" spans="1:19" ht="16.5" customHeight="1">
      <c r="A35" s="20"/>
      <c r="B35" s="195"/>
      <c r="C35" s="33" t="s">
        <v>48</v>
      </c>
      <c r="D35" s="152"/>
      <c r="E35" s="46" t="s">
        <v>49</v>
      </c>
      <c r="F35" s="57">
        <v>248800</v>
      </c>
      <c r="G35" s="57">
        <f>20724+20096+19468+19468+19468+18212+20096+18212+18212+18840</f>
        <v>192796</v>
      </c>
      <c r="H35" s="67">
        <v>192796</v>
      </c>
      <c r="I35" s="57">
        <f aca="true" t="shared" si="4" ref="I35:I43">G35-H35</f>
        <v>0</v>
      </c>
      <c r="J35" s="97">
        <f t="shared" si="3"/>
        <v>77.49035369774919</v>
      </c>
      <c r="Q35" s="2"/>
      <c r="R35" s="146"/>
      <c r="S35" s="64"/>
    </row>
    <row r="36" spans="1:19" ht="16.5" customHeight="1">
      <c r="A36" s="20"/>
      <c r="B36" s="195"/>
      <c r="C36" s="33" t="s">
        <v>50</v>
      </c>
      <c r="D36" s="152"/>
      <c r="E36" s="46" t="s">
        <v>51</v>
      </c>
      <c r="F36" s="57">
        <f>22600+100</f>
        <v>22700</v>
      </c>
      <c r="G36" s="57">
        <f>1900+1868+1884+1884+1884+1884+1884+1884+1884+1884</f>
        <v>18840</v>
      </c>
      <c r="H36" s="67">
        <v>18840</v>
      </c>
      <c r="I36" s="57">
        <f t="shared" si="4"/>
        <v>0</v>
      </c>
      <c r="J36" s="97">
        <f t="shared" si="3"/>
        <v>82.99559471365639</v>
      </c>
      <c r="Q36" s="2"/>
      <c r="R36" s="146"/>
      <c r="S36" s="64"/>
    </row>
    <row r="37" spans="1:19" ht="15" customHeight="1">
      <c r="A37" s="20"/>
      <c r="B37" s="195"/>
      <c r="C37" s="33" t="s">
        <v>47</v>
      </c>
      <c r="D37" s="152"/>
      <c r="E37" s="46" t="s">
        <v>52</v>
      </c>
      <c r="F37" s="57">
        <v>158500</v>
      </c>
      <c r="G37" s="57">
        <f>13188+13188+13188+13188+13188+13188+13188+13188+13188+12560</f>
        <v>131252</v>
      </c>
      <c r="H37" s="67">
        <v>131252</v>
      </c>
      <c r="I37" s="57">
        <f t="shared" si="4"/>
        <v>0</v>
      </c>
      <c r="J37" s="97">
        <f t="shared" si="3"/>
        <v>82.80883280757098</v>
      </c>
      <c r="Q37" s="2"/>
      <c r="R37" s="146"/>
      <c r="S37" s="64"/>
    </row>
    <row r="38" spans="1:19" ht="14.25" customHeight="1">
      <c r="A38" s="20"/>
      <c r="B38" s="194" t="s">
        <v>203</v>
      </c>
      <c r="C38" s="11"/>
      <c r="D38" s="160" t="s">
        <v>237</v>
      </c>
      <c r="E38" s="46"/>
      <c r="F38" s="63">
        <f>F39+F40</f>
        <v>7466000</v>
      </c>
      <c r="G38" s="63">
        <f>G39+G40</f>
        <v>6855827.95</v>
      </c>
      <c r="H38" s="63">
        <f>H39+H40</f>
        <v>6855611.21</v>
      </c>
      <c r="I38" s="63">
        <f t="shared" si="4"/>
        <v>216.74000000022352</v>
      </c>
      <c r="J38" s="97">
        <f t="shared" si="3"/>
        <v>91.82732319849987</v>
      </c>
      <c r="Q38" s="2"/>
      <c r="R38" s="65"/>
      <c r="S38" s="64"/>
    </row>
    <row r="39" spans="1:19" ht="16.5" customHeight="1">
      <c r="A39" s="20"/>
      <c r="B39" s="202"/>
      <c r="C39" s="33" t="s">
        <v>54</v>
      </c>
      <c r="D39" s="152"/>
      <c r="E39" s="46" t="s">
        <v>175</v>
      </c>
      <c r="F39" s="57">
        <v>238000</v>
      </c>
      <c r="G39" s="57">
        <f>2400+62800+68640+49400+8800+10060+8720+18107+9073</f>
        <v>238000</v>
      </c>
      <c r="H39" s="57">
        <v>237783.26</v>
      </c>
      <c r="I39" s="57">
        <f t="shared" si="4"/>
        <v>216.7399999999907</v>
      </c>
      <c r="J39" s="97">
        <f t="shared" si="3"/>
        <v>100</v>
      </c>
      <c r="Q39" s="2"/>
      <c r="R39" s="146"/>
      <c r="S39" s="64"/>
    </row>
    <row r="40" spans="1:19" ht="57" customHeight="1">
      <c r="A40" s="20"/>
      <c r="B40" s="202"/>
      <c r="C40" s="33" t="s">
        <v>40</v>
      </c>
      <c r="D40" s="152"/>
      <c r="E40" s="46" t="s">
        <v>174</v>
      </c>
      <c r="F40" s="57">
        <v>7228000</v>
      </c>
      <c r="G40" s="57">
        <f>191917.71+287934.24+3007419+1127831+574355+379655+274422+301793+253347+219154</f>
        <v>6617827.95</v>
      </c>
      <c r="H40" s="67">
        <v>6617827.95</v>
      </c>
      <c r="I40" s="57">
        <f t="shared" si="4"/>
        <v>0</v>
      </c>
      <c r="J40" s="97">
        <f t="shared" si="3"/>
        <v>91.55821734919756</v>
      </c>
      <c r="Q40" s="2"/>
      <c r="R40" s="146"/>
      <c r="S40" s="64"/>
    </row>
    <row r="41" spans="1:19" ht="0.75" customHeight="1">
      <c r="A41" s="20"/>
      <c r="B41" s="32" t="s">
        <v>79</v>
      </c>
      <c r="C41" s="11" t="s">
        <v>41</v>
      </c>
      <c r="D41" s="152" t="s">
        <v>55</v>
      </c>
      <c r="E41" s="46" t="s">
        <v>129</v>
      </c>
      <c r="F41" s="73"/>
      <c r="G41" s="120"/>
      <c r="H41" s="72"/>
      <c r="I41" s="72">
        <f t="shared" si="4"/>
        <v>0</v>
      </c>
      <c r="J41" s="97" t="e">
        <f t="shared" si="3"/>
        <v>#DIV/0!</v>
      </c>
      <c r="Q41" s="2"/>
      <c r="R41" s="65"/>
      <c r="S41" s="64"/>
    </row>
    <row r="42" spans="1:17" ht="26.25" customHeight="1" hidden="1">
      <c r="A42" s="20"/>
      <c r="B42" s="32" t="s">
        <v>83</v>
      </c>
      <c r="C42" s="11" t="s">
        <v>41</v>
      </c>
      <c r="D42" s="152" t="s">
        <v>55</v>
      </c>
      <c r="E42" s="46" t="s">
        <v>129</v>
      </c>
      <c r="F42" s="72"/>
      <c r="G42" s="72"/>
      <c r="H42" s="72"/>
      <c r="I42" s="72">
        <f t="shared" si="4"/>
        <v>0</v>
      </c>
      <c r="J42" s="97" t="e">
        <f t="shared" si="3"/>
        <v>#DIV/0!</v>
      </c>
      <c r="Q42" s="2"/>
    </row>
    <row r="43" spans="1:19" ht="48.75" customHeight="1">
      <c r="A43" s="20"/>
      <c r="B43" s="87" t="s">
        <v>13</v>
      </c>
      <c r="C43" s="11" t="s">
        <v>40</v>
      </c>
      <c r="D43" s="160" t="s">
        <v>238</v>
      </c>
      <c r="E43" s="46" t="s">
        <v>166</v>
      </c>
      <c r="F43" s="62">
        <f>1864000-127900-87800</f>
        <v>1648300</v>
      </c>
      <c r="G43" s="62">
        <f>226000+50000+143500+611+270000+48300+161000+140187+41600+48000</f>
        <v>1129198</v>
      </c>
      <c r="H43" s="67">
        <v>1129198</v>
      </c>
      <c r="I43" s="57">
        <f t="shared" si="4"/>
        <v>0</v>
      </c>
      <c r="J43" s="97">
        <f t="shared" si="3"/>
        <v>68.5068252138567</v>
      </c>
      <c r="Q43" s="2"/>
      <c r="R43" s="65"/>
      <c r="S43" s="64"/>
    </row>
    <row r="44" spans="1:19" ht="17.25" customHeight="1">
      <c r="A44" s="20"/>
      <c r="B44" s="189" t="s">
        <v>93</v>
      </c>
      <c r="C44" s="206" t="s">
        <v>40</v>
      </c>
      <c r="D44" s="160" t="s">
        <v>239</v>
      </c>
      <c r="E44" s="46" t="s">
        <v>186</v>
      </c>
      <c r="F44" s="110">
        <f>F45+F46+F47</f>
        <v>8822000</v>
      </c>
      <c r="G44" s="110">
        <f>G45+G46+G47</f>
        <v>6392192</v>
      </c>
      <c r="H44" s="110">
        <f>H45+H46+H47</f>
        <v>6371630.3</v>
      </c>
      <c r="I44" s="110">
        <f>I45+I46+I47</f>
        <v>20561.70000000001</v>
      </c>
      <c r="J44" s="97">
        <f t="shared" si="3"/>
        <v>72.45740194967128</v>
      </c>
      <c r="Q44" s="2"/>
      <c r="R44" s="65"/>
      <c r="S44" s="64"/>
    </row>
    <row r="45" spans="1:19" ht="14.25" customHeight="1">
      <c r="A45" s="20"/>
      <c r="B45" s="189"/>
      <c r="C45" s="207"/>
      <c r="D45" s="191"/>
      <c r="E45" s="39" t="s">
        <v>187</v>
      </c>
      <c r="F45" s="62">
        <f>7785800-140400</f>
        <v>7645400</v>
      </c>
      <c r="G45" s="62">
        <f>278264+255000+434000+216000+470000+172703+460000+202140+566980+203000+1102667+51000+403673+30541+166411+128800+464354+197200</f>
        <v>5802733</v>
      </c>
      <c r="H45" s="62">
        <v>5802733</v>
      </c>
      <c r="I45" s="57">
        <f aca="true" t="shared" si="5" ref="I45:I71">G45-H45</f>
        <v>0</v>
      </c>
      <c r="J45" s="97">
        <f t="shared" si="3"/>
        <v>75.89835718209642</v>
      </c>
      <c r="Q45" s="2"/>
      <c r="R45" s="144"/>
      <c r="S45" s="2"/>
    </row>
    <row r="46" spans="1:19" ht="12.75" customHeight="1">
      <c r="A46" s="20"/>
      <c r="B46" s="189"/>
      <c r="C46" s="207"/>
      <c r="D46" s="191"/>
      <c r="E46" s="39" t="s">
        <v>94</v>
      </c>
      <c r="F46" s="62">
        <f>897000-16200</f>
        <v>880800</v>
      </c>
      <c r="G46" s="62">
        <f>13168+20000+30000+14000+31500+9785+37512+14000+40739+14000+10624+10000+26111+18000+60263+5000+17816</f>
        <v>372518</v>
      </c>
      <c r="H46" s="62">
        <v>351956.67</v>
      </c>
      <c r="I46" s="57">
        <f t="shared" si="5"/>
        <v>20561.330000000016</v>
      </c>
      <c r="J46" s="97">
        <f t="shared" si="3"/>
        <v>42.293142597638514</v>
      </c>
      <c r="Q46" s="2"/>
      <c r="R46" s="145"/>
      <c r="S46" s="2"/>
    </row>
    <row r="47" spans="1:19" ht="14.25" customHeight="1">
      <c r="A47" s="20"/>
      <c r="B47" s="189"/>
      <c r="C47" s="208"/>
      <c r="D47" s="191"/>
      <c r="E47" s="39" t="s">
        <v>188</v>
      </c>
      <c r="F47" s="62">
        <v>295800</v>
      </c>
      <c r="G47" s="62">
        <f>200+14800+13215+96485+25788+22173+21738+5000+17542</f>
        <v>216941</v>
      </c>
      <c r="H47" s="62">
        <v>216940.63</v>
      </c>
      <c r="I47" s="57">
        <f t="shared" si="5"/>
        <v>0.3699999999953434</v>
      </c>
      <c r="J47" s="97">
        <f t="shared" si="3"/>
        <v>73.34043272481406</v>
      </c>
      <c r="Q47" s="2"/>
      <c r="S47" s="2"/>
    </row>
    <row r="48" spans="1:19" ht="63.75" customHeight="1">
      <c r="A48" s="20"/>
      <c r="B48" s="76" t="s">
        <v>137</v>
      </c>
      <c r="C48" s="11" t="s">
        <v>40</v>
      </c>
      <c r="D48" s="160" t="s">
        <v>239</v>
      </c>
      <c r="E48" s="46" t="s">
        <v>167</v>
      </c>
      <c r="F48" s="57">
        <f>57224000-159000+258000</f>
        <v>57323000</v>
      </c>
      <c r="G48" s="57">
        <f>2920966+1366000+3727000+735770+3476400+924316+3607321+962700+3677900+2641689+5377350+5080600+2352478+170215+714890+500040+1856250+889500</f>
        <v>40981385</v>
      </c>
      <c r="H48" s="67">
        <v>40980248.63</v>
      </c>
      <c r="I48" s="57">
        <f t="shared" si="5"/>
        <v>1136.3699999973178</v>
      </c>
      <c r="J48" s="97">
        <f t="shared" si="3"/>
        <v>71.49204507789194</v>
      </c>
      <c r="Q48" s="2"/>
      <c r="R48" s="119"/>
      <c r="S48" s="134"/>
    </row>
    <row r="49" spans="1:19" ht="66.75" customHeight="1">
      <c r="A49" s="20"/>
      <c r="B49" s="76" t="s">
        <v>8</v>
      </c>
      <c r="C49" s="11" t="s">
        <v>40</v>
      </c>
      <c r="D49" s="160" t="s">
        <v>239</v>
      </c>
      <c r="E49" s="46" t="s">
        <v>168</v>
      </c>
      <c r="F49" s="57">
        <v>18480000</v>
      </c>
      <c r="G49" s="57">
        <f>978998+569000+1185154+420321+1181836+242414+1262000+335200+1233600+421592+1462600+1115300+1181693+368175+1077783+354899+899900+277641</f>
        <v>14568106</v>
      </c>
      <c r="H49" s="67">
        <v>14568103.97</v>
      </c>
      <c r="I49" s="57">
        <f t="shared" si="5"/>
        <v>2.0299999993294477</v>
      </c>
      <c r="J49" s="97">
        <f t="shared" si="3"/>
        <v>78.83174242424242</v>
      </c>
      <c r="Q49" s="2"/>
      <c r="R49" s="119"/>
      <c r="S49" s="134"/>
    </row>
    <row r="50" spans="1:19" ht="65.25" customHeight="1">
      <c r="A50" s="20"/>
      <c r="B50" s="76" t="s">
        <v>138</v>
      </c>
      <c r="C50" s="11" t="s">
        <v>40</v>
      </c>
      <c r="D50" s="160" t="s">
        <v>239</v>
      </c>
      <c r="E50" s="46" t="s">
        <v>169</v>
      </c>
      <c r="F50" s="57">
        <f>1814000-3000</f>
        <v>1811000</v>
      </c>
      <c r="G50" s="57">
        <f>103320+17762+25400+13010+108196+64923+51338+83206+90685+40600+38600+24225+18550+51454+439708+12678+118609+30108</f>
        <v>1332372</v>
      </c>
      <c r="H50" s="67">
        <v>1332370.32</v>
      </c>
      <c r="I50" s="57">
        <f t="shared" si="5"/>
        <v>1.6799999999348074</v>
      </c>
      <c r="J50" s="97">
        <f t="shared" si="3"/>
        <v>73.57106570955273</v>
      </c>
      <c r="Q50" s="2"/>
      <c r="R50" s="119"/>
      <c r="S50" s="134"/>
    </row>
    <row r="51" spans="1:19" ht="66" customHeight="1">
      <c r="A51" s="20"/>
      <c r="B51" s="76" t="s">
        <v>9</v>
      </c>
      <c r="C51" s="11" t="s">
        <v>40</v>
      </c>
      <c r="D51" s="160" t="s">
        <v>239</v>
      </c>
      <c r="E51" s="46" t="s">
        <v>170</v>
      </c>
      <c r="F51" s="57">
        <f>1872000-114000</f>
        <v>1758000</v>
      </c>
      <c r="G51" s="57">
        <f>689+2658+141312+135307+5440+159431+181101+61750+259466+55750+69080+1908+4892+430+551+66</f>
        <v>1079831</v>
      </c>
      <c r="H51" s="67">
        <v>1079610.12</v>
      </c>
      <c r="I51" s="57">
        <f t="shared" si="5"/>
        <v>220.87999999988824</v>
      </c>
      <c r="J51" s="97">
        <f t="shared" si="3"/>
        <v>61.42383390216155</v>
      </c>
      <c r="Q51" s="2"/>
      <c r="R51" s="65"/>
      <c r="S51" s="64"/>
    </row>
    <row r="52" spans="1:19" ht="77.25" customHeight="1">
      <c r="A52" s="20"/>
      <c r="B52" s="76" t="s">
        <v>10</v>
      </c>
      <c r="C52" s="11" t="s">
        <v>40</v>
      </c>
      <c r="D52" s="160" t="s">
        <v>239</v>
      </c>
      <c r="E52" s="46" t="s">
        <v>171</v>
      </c>
      <c r="F52" s="57">
        <v>1160000</v>
      </c>
      <c r="G52" s="57">
        <f>93784+94373+90910+370+94710+91618+42938+140818+57732+79654+636+6205+408+45930</f>
        <v>840086</v>
      </c>
      <c r="H52" s="67">
        <v>840086</v>
      </c>
      <c r="I52" s="57">
        <f t="shared" si="5"/>
        <v>0</v>
      </c>
      <c r="J52" s="97">
        <f t="shared" si="3"/>
        <v>72.42120689655172</v>
      </c>
      <c r="Q52" s="2"/>
      <c r="R52" s="146"/>
      <c r="S52" s="64"/>
    </row>
    <row r="53" spans="1:19" ht="75.75" customHeight="1" hidden="1">
      <c r="A53" s="20"/>
      <c r="B53" s="76" t="s">
        <v>196</v>
      </c>
      <c r="C53" s="11" t="s">
        <v>56</v>
      </c>
      <c r="D53" s="152" t="s">
        <v>104</v>
      </c>
      <c r="E53" s="46" t="s">
        <v>95</v>
      </c>
      <c r="F53" s="72"/>
      <c r="G53" s="72"/>
      <c r="H53" s="107"/>
      <c r="I53" s="72">
        <f t="shared" si="5"/>
        <v>0</v>
      </c>
      <c r="J53" s="97" t="e">
        <f t="shared" si="3"/>
        <v>#DIV/0!</v>
      </c>
      <c r="Q53" s="2"/>
      <c r="R53" s="65"/>
      <c r="S53" s="64"/>
    </row>
    <row r="54" spans="1:19" ht="39" customHeight="1">
      <c r="A54" s="20"/>
      <c r="B54" s="34" t="s">
        <v>80</v>
      </c>
      <c r="C54" s="11" t="s">
        <v>40</v>
      </c>
      <c r="D54" s="160" t="s">
        <v>240</v>
      </c>
      <c r="E54" s="46" t="s">
        <v>173</v>
      </c>
      <c r="F54" s="62">
        <f>1886000+206000</f>
        <v>2092000</v>
      </c>
      <c r="G54" s="62">
        <f>157823+173963+142292+156400+181925+167200+171277+185890+164144</f>
        <v>1500914</v>
      </c>
      <c r="H54" s="67">
        <v>1500913.57</v>
      </c>
      <c r="I54" s="57">
        <f t="shared" si="5"/>
        <v>0.4299999999348074</v>
      </c>
      <c r="J54" s="97">
        <f t="shared" si="3"/>
        <v>71.74541108986617</v>
      </c>
      <c r="Q54" s="2"/>
      <c r="R54" s="65"/>
      <c r="S54" s="64"/>
    </row>
    <row r="55" spans="1:19" ht="25.5" customHeight="1">
      <c r="A55" s="20"/>
      <c r="B55" s="209" t="s">
        <v>141</v>
      </c>
      <c r="C55" s="203" t="s">
        <v>40</v>
      </c>
      <c r="D55" s="160" t="s">
        <v>240</v>
      </c>
      <c r="E55" s="46" t="s">
        <v>172</v>
      </c>
      <c r="F55" s="111">
        <f>F56+F57</f>
        <v>3699000</v>
      </c>
      <c r="G55" s="111">
        <f>G56+G57</f>
        <v>2850505.9999999995</v>
      </c>
      <c r="H55" s="111">
        <f>H56+H57</f>
        <v>2850244.57</v>
      </c>
      <c r="I55" s="63">
        <f t="shared" si="5"/>
        <v>261.429999999702</v>
      </c>
      <c r="J55" s="97">
        <f t="shared" si="3"/>
        <v>77.06153014328196</v>
      </c>
      <c r="Q55" s="2"/>
      <c r="R55" s="65"/>
      <c r="S55" s="64"/>
    </row>
    <row r="56" spans="1:18" ht="12" customHeight="1">
      <c r="A56" s="20"/>
      <c r="B56" s="210"/>
      <c r="C56" s="204"/>
      <c r="D56" s="5" t="s">
        <v>115</v>
      </c>
      <c r="E56" s="46" t="s">
        <v>133</v>
      </c>
      <c r="F56" s="62">
        <v>3272500</v>
      </c>
      <c r="G56" s="62">
        <f>264732.35+292095.88-26328.12+266426.49-1175.53+286793.56+291548.94+9386+297368.94+289166.94+288813.53+287836.21</f>
        <v>2546665.1899999995</v>
      </c>
      <c r="H56" s="62">
        <v>2546665.19</v>
      </c>
      <c r="I56" s="57">
        <f t="shared" si="5"/>
        <v>0</v>
      </c>
      <c r="J56" s="97">
        <f t="shared" si="3"/>
        <v>77.82017387318562</v>
      </c>
      <c r="Q56" s="2"/>
      <c r="R56" s="146"/>
    </row>
    <row r="57" spans="1:18" ht="12.75" customHeight="1">
      <c r="A57" s="20"/>
      <c r="B57" s="211"/>
      <c r="C57" s="205"/>
      <c r="D57" s="5" t="s">
        <v>116</v>
      </c>
      <c r="E57" s="46" t="s">
        <v>134</v>
      </c>
      <c r="F57" s="62">
        <v>426500</v>
      </c>
      <c r="G57" s="62">
        <f>35027.65+28022.12+26328.12+85760.51+1175.53+26846.44+14011.06+14011.06+14011.06+13700.47+31533.79+13413</f>
        <v>303840.81</v>
      </c>
      <c r="H57" s="62">
        <v>303579.38</v>
      </c>
      <c r="I57" s="57">
        <f t="shared" si="5"/>
        <v>261.429999999993</v>
      </c>
      <c r="J57" s="97">
        <f t="shared" si="3"/>
        <v>71.2405181711606</v>
      </c>
      <c r="Q57" s="2"/>
      <c r="R57" s="146"/>
    </row>
    <row r="58" spans="1:17" ht="25.5" customHeight="1">
      <c r="A58" s="20"/>
      <c r="B58" s="34" t="s">
        <v>81</v>
      </c>
      <c r="C58" s="11" t="s">
        <v>117</v>
      </c>
      <c r="D58" s="160" t="s">
        <v>237</v>
      </c>
      <c r="E58" s="46" t="s">
        <v>181</v>
      </c>
      <c r="F58" s="57">
        <v>1926000</v>
      </c>
      <c r="G58" s="57">
        <f>160500+160500+160500+160500+160500+160500+160500+160500+160500</f>
        <v>1444500</v>
      </c>
      <c r="H58" s="57">
        <v>1444500</v>
      </c>
      <c r="I58" s="57">
        <f t="shared" si="5"/>
        <v>0</v>
      </c>
      <c r="J58" s="97">
        <f t="shared" si="3"/>
        <v>75</v>
      </c>
      <c r="Q58" s="2"/>
    </row>
    <row r="59" spans="1:17" ht="55.5" customHeight="1">
      <c r="A59" s="20"/>
      <c r="B59" s="85" t="s">
        <v>245</v>
      </c>
      <c r="C59" s="11" t="s">
        <v>41</v>
      </c>
      <c r="D59" s="160" t="s">
        <v>237</v>
      </c>
      <c r="E59" s="46" t="s">
        <v>180</v>
      </c>
      <c r="F59" s="57">
        <v>477000</v>
      </c>
      <c r="G59" s="57">
        <f>7100+25200+12000+27000+5000+30000+10000+33000+10000+33000+28000+37000+6000</f>
        <v>263300</v>
      </c>
      <c r="H59" s="67">
        <v>263300</v>
      </c>
      <c r="I59" s="57">
        <f t="shared" si="5"/>
        <v>0</v>
      </c>
      <c r="J59" s="97">
        <f t="shared" si="3"/>
        <v>55.19916142557651</v>
      </c>
      <c r="Q59" s="2"/>
    </row>
    <row r="60" spans="1:17" ht="41.25" customHeight="1">
      <c r="A60" s="20"/>
      <c r="B60" s="85" t="s">
        <v>145</v>
      </c>
      <c r="C60" s="11" t="s">
        <v>41</v>
      </c>
      <c r="D60" s="141" t="s">
        <v>237</v>
      </c>
      <c r="E60" s="46" t="s">
        <v>261</v>
      </c>
      <c r="F60" s="57">
        <v>1045000</v>
      </c>
      <c r="G60" s="57">
        <f>72000+38000+2000+54000+22600+65400+55100+40000+26000+63000+26000+62000+27000+102000+22000+94000+20000</f>
        <v>791100</v>
      </c>
      <c r="H60" s="67">
        <v>791100</v>
      </c>
      <c r="I60" s="57">
        <f t="shared" si="5"/>
        <v>0</v>
      </c>
      <c r="J60" s="97">
        <f t="shared" si="3"/>
        <v>75.70334928229666</v>
      </c>
      <c r="Q60" s="2"/>
    </row>
    <row r="61" spans="1:17" ht="57" customHeight="1">
      <c r="A61" s="20"/>
      <c r="B61" s="172" t="s">
        <v>4</v>
      </c>
      <c r="C61" s="11" t="s">
        <v>41</v>
      </c>
      <c r="D61" s="141" t="s">
        <v>237</v>
      </c>
      <c r="E61" s="46" t="s">
        <v>189</v>
      </c>
      <c r="F61" s="57">
        <v>77100</v>
      </c>
      <c r="G61" s="57">
        <f>31800+26000+6000+2250+1000</f>
        <v>67050</v>
      </c>
      <c r="H61" s="57">
        <v>66988.5</v>
      </c>
      <c r="I61" s="57">
        <f t="shared" si="5"/>
        <v>61.5</v>
      </c>
      <c r="J61" s="97">
        <f t="shared" si="3"/>
        <v>86.96498054474708</v>
      </c>
      <c r="Q61" s="2"/>
    </row>
    <row r="62" spans="1:17" ht="30.75" customHeight="1">
      <c r="A62" s="20"/>
      <c r="B62" s="194" t="s">
        <v>114</v>
      </c>
      <c r="C62" s="11"/>
      <c r="D62" s="141" t="s">
        <v>237</v>
      </c>
      <c r="E62" s="46" t="s">
        <v>92</v>
      </c>
      <c r="F62" s="63">
        <f>F63+F64</f>
        <v>2700</v>
      </c>
      <c r="G62" s="63">
        <f>G63+G64</f>
        <v>1000</v>
      </c>
      <c r="H62" s="63">
        <f>H63+H64</f>
        <v>1000</v>
      </c>
      <c r="I62" s="63">
        <f t="shared" si="5"/>
        <v>0</v>
      </c>
      <c r="J62" s="97">
        <f t="shared" si="3"/>
        <v>37.03703703703704</v>
      </c>
      <c r="Q62" s="2"/>
    </row>
    <row r="63" spans="1:17" ht="12.75" customHeight="1">
      <c r="A63" s="20"/>
      <c r="B63" s="202"/>
      <c r="C63" s="38" t="s">
        <v>91</v>
      </c>
      <c r="D63" s="155"/>
      <c r="E63" s="46" t="s">
        <v>179</v>
      </c>
      <c r="F63" s="57">
        <v>700</v>
      </c>
      <c r="G63" s="57"/>
      <c r="H63" s="57"/>
      <c r="I63" s="57">
        <f t="shared" si="5"/>
        <v>0</v>
      </c>
      <c r="J63" s="97">
        <f t="shared" si="3"/>
        <v>0</v>
      </c>
      <c r="Q63" s="2"/>
    </row>
    <row r="64" spans="1:19" ht="13.5" customHeight="1">
      <c r="A64" s="20"/>
      <c r="B64" s="202"/>
      <c r="C64" s="33" t="s">
        <v>57</v>
      </c>
      <c r="D64" s="155"/>
      <c r="E64" s="46" t="s">
        <v>178</v>
      </c>
      <c r="F64" s="57">
        <v>2000</v>
      </c>
      <c r="G64" s="57">
        <f>1000</f>
        <v>1000</v>
      </c>
      <c r="H64" s="57">
        <v>1000</v>
      </c>
      <c r="I64" s="57">
        <f t="shared" si="5"/>
        <v>0</v>
      </c>
      <c r="J64" s="97">
        <f t="shared" si="3"/>
        <v>50</v>
      </c>
      <c r="Q64" s="2"/>
      <c r="R64" s="65"/>
      <c r="S64" s="64"/>
    </row>
    <row r="65" spans="1:19" ht="24.75" customHeight="1">
      <c r="A65" s="20"/>
      <c r="B65" s="34" t="s">
        <v>82</v>
      </c>
      <c r="C65" s="11" t="s">
        <v>40</v>
      </c>
      <c r="D65" s="160" t="s">
        <v>237</v>
      </c>
      <c r="E65" s="46" t="s">
        <v>176</v>
      </c>
      <c r="F65" s="57">
        <v>485000</v>
      </c>
      <c r="G65" s="57">
        <f>11000+21700+6836+10000+8454+10097+26000+16500+35102+22450+1778+23200+20908+27650</f>
        <v>241675</v>
      </c>
      <c r="H65" s="67">
        <v>241675</v>
      </c>
      <c r="I65" s="57">
        <f t="shared" si="5"/>
        <v>0</v>
      </c>
      <c r="J65" s="97">
        <f t="shared" si="3"/>
        <v>49.829896907216494</v>
      </c>
      <c r="Q65" s="2"/>
      <c r="R65" s="65"/>
      <c r="S65" s="64"/>
    </row>
    <row r="66" spans="1:19" ht="41.25" customHeight="1" hidden="1">
      <c r="A66" s="20"/>
      <c r="B66" s="85" t="s">
        <v>147</v>
      </c>
      <c r="C66" s="11" t="s">
        <v>41</v>
      </c>
      <c r="D66" s="152" t="s">
        <v>53</v>
      </c>
      <c r="E66" s="39" t="s">
        <v>146</v>
      </c>
      <c r="F66" s="72"/>
      <c r="G66" s="72"/>
      <c r="H66" s="72"/>
      <c r="I66" s="72">
        <f t="shared" si="5"/>
        <v>0</v>
      </c>
      <c r="J66" s="97" t="e">
        <f t="shared" si="3"/>
        <v>#DIV/0!</v>
      </c>
      <c r="Q66" s="2"/>
      <c r="R66" s="65"/>
      <c r="S66" s="64"/>
    </row>
    <row r="67" spans="1:19" ht="32.25" customHeight="1" hidden="1">
      <c r="A67" s="20"/>
      <c r="B67" s="85" t="s">
        <v>148</v>
      </c>
      <c r="C67" s="11" t="s">
        <v>41</v>
      </c>
      <c r="D67" s="152" t="s">
        <v>53</v>
      </c>
      <c r="E67" s="39" t="s">
        <v>192</v>
      </c>
      <c r="F67" s="72">
        <f>595000-595000</f>
        <v>0</v>
      </c>
      <c r="G67" s="72"/>
      <c r="H67" s="72"/>
      <c r="I67" s="72">
        <f t="shared" si="5"/>
        <v>0</v>
      </c>
      <c r="J67" s="97" t="e">
        <f t="shared" si="3"/>
        <v>#DIV/0!</v>
      </c>
      <c r="Q67" s="2"/>
      <c r="R67" s="65"/>
      <c r="S67" s="64"/>
    </row>
    <row r="68" spans="1:17" ht="62.25" customHeight="1">
      <c r="A68" s="20"/>
      <c r="B68" s="70" t="s">
        <v>204</v>
      </c>
      <c r="C68" s="11" t="s">
        <v>41</v>
      </c>
      <c r="D68" s="141" t="s">
        <v>237</v>
      </c>
      <c r="E68" s="39" t="s">
        <v>191</v>
      </c>
      <c r="F68" s="57">
        <v>257000</v>
      </c>
      <c r="G68" s="57">
        <f>27413.33</f>
        <v>27413.33</v>
      </c>
      <c r="H68" s="57">
        <v>27413.33</v>
      </c>
      <c r="I68" s="57">
        <f t="shared" si="5"/>
        <v>0</v>
      </c>
      <c r="J68" s="97">
        <f t="shared" si="3"/>
        <v>10.666665369649806</v>
      </c>
      <c r="Q68" s="2"/>
    </row>
    <row r="69" spans="1:17" ht="40.5" customHeight="1" hidden="1">
      <c r="A69" s="20"/>
      <c r="B69" s="70" t="s">
        <v>131</v>
      </c>
      <c r="C69" s="11" t="s">
        <v>41</v>
      </c>
      <c r="D69" s="152" t="s">
        <v>53</v>
      </c>
      <c r="E69" s="39" t="s">
        <v>130</v>
      </c>
      <c r="F69" s="72"/>
      <c r="G69" s="72"/>
      <c r="H69" s="72"/>
      <c r="I69" s="72">
        <f t="shared" si="5"/>
        <v>0</v>
      </c>
      <c r="J69" s="97" t="e">
        <f t="shared" si="3"/>
        <v>#DIV/0!</v>
      </c>
      <c r="Q69" s="2"/>
    </row>
    <row r="70" spans="1:17" ht="30" customHeight="1" hidden="1">
      <c r="A70" s="20"/>
      <c r="B70" s="118" t="s">
        <v>190</v>
      </c>
      <c r="C70" s="11" t="s">
        <v>44</v>
      </c>
      <c r="D70" s="152" t="s">
        <v>200</v>
      </c>
      <c r="E70" s="117" t="s">
        <v>195</v>
      </c>
      <c r="F70" s="72"/>
      <c r="G70" s="72"/>
      <c r="H70" s="72"/>
      <c r="I70" s="72">
        <f t="shared" si="5"/>
        <v>0</v>
      </c>
      <c r="J70" s="97" t="e">
        <f t="shared" si="3"/>
        <v>#DIV/0!</v>
      </c>
      <c r="Q70" s="2"/>
    </row>
    <row r="71" spans="1:17" ht="51" customHeight="1" hidden="1">
      <c r="A71" s="20"/>
      <c r="B71" s="118" t="s">
        <v>205</v>
      </c>
      <c r="C71" s="11" t="s">
        <v>44</v>
      </c>
      <c r="D71" s="152" t="s">
        <v>53</v>
      </c>
      <c r="E71" s="117" t="s">
        <v>11</v>
      </c>
      <c r="F71" s="72"/>
      <c r="G71" s="72"/>
      <c r="H71" s="72"/>
      <c r="I71" s="72">
        <f t="shared" si="5"/>
        <v>0</v>
      </c>
      <c r="J71" s="97" t="e">
        <f t="shared" si="3"/>
        <v>#DIV/0!</v>
      </c>
      <c r="Q71" s="2"/>
    </row>
    <row r="72" spans="1:18" ht="19.5" customHeight="1">
      <c r="A72" s="77"/>
      <c r="B72" s="78" t="s">
        <v>142</v>
      </c>
      <c r="C72" s="95"/>
      <c r="D72" s="156"/>
      <c r="E72" s="79"/>
      <c r="F72" s="171">
        <f>F4+F17+F18+F19+F20+F21+F22+F23+F24+F25+F26+F27+F28+F29+F30+F31+F32+F33+F34+F38+F41+F42+F43+F44+F48+F49+F50+F51+F52+F53+F54+F55+F58+F59+F60+F61+F62+F65+F66+F67+F68+F69+F70+F71</f>
        <v>116509130</v>
      </c>
      <c r="G72" s="171">
        <f>G4+G17+G18+G19+G20+G21+G22+G23+G24+G25+G26+G27+G28+G29+G30+G31+G32+G33+G34+G38+G41+G42+G43+G44+G48+G49+G50+G51+G52+G53+G54+G55+G58+G59+G60+G61+G62+G65+G66+G67+G68+G69+G70+G71</f>
        <v>85542430.83</v>
      </c>
      <c r="H72" s="171">
        <f>H4+H17+H18+H19+H20+H21+H22+H23+H24+H25+H26+H27+H28+H29+H30+H31+H32+H33+H34+H38+H41+H42+H43+H44+H48+H49+H50+H51+H52+H53+H54+H55+H58+H59+H60+H61+H62+H65+H66+H67+H68+H69+H70+H71</f>
        <v>85436764.85999998</v>
      </c>
      <c r="I72" s="171">
        <f>I4+I17+I18+I19+I20+I21+I22+I23+I24+I25+I26+I27+I28+I29+I30+I31+I32+I33+I34+I38+I41+I42+I43+I44+I48+I49+I50+I51+I52+I53+I54+I55+I58+I59+I60+I61+I62+I65+I66+I67+I68+I69+I70+I71</f>
        <v>105665.9699999963</v>
      </c>
      <c r="J72" s="105">
        <f t="shared" si="3"/>
        <v>73.42122529796592</v>
      </c>
      <c r="Q72" s="2"/>
      <c r="R72" s="65"/>
    </row>
    <row r="73" spans="1:18" ht="29.25" customHeight="1">
      <c r="A73" s="126"/>
      <c r="B73" s="212" t="s">
        <v>227</v>
      </c>
      <c r="C73" s="129"/>
      <c r="D73" s="165" t="s">
        <v>7</v>
      </c>
      <c r="E73" s="130" t="s">
        <v>273</v>
      </c>
      <c r="F73" s="114">
        <f>F74+F75+F76+F77+F78</f>
        <v>2177432</v>
      </c>
      <c r="G73" s="114">
        <f>G74+G75+G76+G77+G78</f>
        <v>2177430.98</v>
      </c>
      <c r="H73" s="114">
        <f>H74+H75+H76+H77+H78</f>
        <v>2177430.98</v>
      </c>
      <c r="I73" s="114">
        <f>I74+I75+I76+I77+I78</f>
        <v>0</v>
      </c>
      <c r="J73" s="97">
        <f t="shared" si="3"/>
        <v>99.9999531558276</v>
      </c>
      <c r="Q73" s="2"/>
      <c r="R73" s="65"/>
    </row>
    <row r="74" spans="1:18" ht="19.5" customHeight="1">
      <c r="A74" s="126"/>
      <c r="B74" s="213"/>
      <c r="C74" s="132" t="s">
        <v>27</v>
      </c>
      <c r="D74" s="150"/>
      <c r="E74" s="130"/>
      <c r="F74" s="127">
        <v>347626</v>
      </c>
      <c r="G74" s="127">
        <v>347626</v>
      </c>
      <c r="H74" s="114">
        <v>347626</v>
      </c>
      <c r="I74" s="112">
        <f aca="true" t="shared" si="6" ref="I74:I102">G74-H74</f>
        <v>0</v>
      </c>
      <c r="J74" s="131"/>
      <c r="Q74" s="2"/>
      <c r="R74" s="65"/>
    </row>
    <row r="75" spans="1:18" ht="19.5" customHeight="1">
      <c r="A75" s="126"/>
      <c r="B75" s="213"/>
      <c r="C75" s="132" t="s">
        <v>29</v>
      </c>
      <c r="D75" s="150"/>
      <c r="E75" s="130"/>
      <c r="F75" s="127">
        <f>127033+520900-520900</f>
        <v>127033</v>
      </c>
      <c r="G75" s="127">
        <v>127032.08</v>
      </c>
      <c r="H75" s="114">
        <v>127032.08</v>
      </c>
      <c r="I75" s="112">
        <f t="shared" si="6"/>
        <v>0</v>
      </c>
      <c r="J75" s="131"/>
      <c r="Q75" s="2"/>
      <c r="R75" s="65"/>
    </row>
    <row r="76" spans="1:18" ht="19.5" customHeight="1">
      <c r="A76" s="126"/>
      <c r="B76" s="213"/>
      <c r="C76" s="132" t="s">
        <v>30</v>
      </c>
      <c r="D76" s="150"/>
      <c r="E76" s="130"/>
      <c r="F76" s="127">
        <f>783935-781</f>
        <v>783154</v>
      </c>
      <c r="G76" s="127">
        <v>783153.9</v>
      </c>
      <c r="H76" s="114">
        <v>783153.9</v>
      </c>
      <c r="I76" s="112">
        <f t="shared" si="6"/>
        <v>0</v>
      </c>
      <c r="J76" s="131"/>
      <c r="Q76" s="2"/>
      <c r="R76" s="65"/>
    </row>
    <row r="77" spans="1:18" ht="36" customHeight="1">
      <c r="A77" s="20"/>
      <c r="B77" s="213"/>
      <c r="C77" s="94" t="s">
        <v>214</v>
      </c>
      <c r="D77" s="151"/>
      <c r="E77" s="58"/>
      <c r="F77" s="57">
        <f>919619+337681-337681</f>
        <v>919619</v>
      </c>
      <c r="G77" s="57">
        <v>919619</v>
      </c>
      <c r="H77" s="67">
        <v>919619</v>
      </c>
      <c r="I77" s="112">
        <f t="shared" si="6"/>
        <v>0</v>
      </c>
      <c r="J77" s="97">
        <f aca="true" t="shared" si="7" ref="J77:J108">G77/F77*100</f>
        <v>100</v>
      </c>
      <c r="Q77" s="2"/>
      <c r="R77" s="65"/>
    </row>
    <row r="78" spans="1:19" ht="37.5" customHeight="1">
      <c r="A78" s="20"/>
      <c r="B78" s="213"/>
      <c r="C78" s="187" t="s">
        <v>269</v>
      </c>
      <c r="D78" s="178" t="s">
        <v>270</v>
      </c>
      <c r="E78" s="58" t="s">
        <v>268</v>
      </c>
      <c r="F78" s="63">
        <f>766274-766274</f>
        <v>0</v>
      </c>
      <c r="G78" s="63">
        <v>0</v>
      </c>
      <c r="H78" s="63">
        <v>0</v>
      </c>
      <c r="I78" s="115">
        <f t="shared" si="6"/>
        <v>0</v>
      </c>
      <c r="J78" s="97" t="e">
        <f t="shared" si="7"/>
        <v>#DIV/0!</v>
      </c>
      <c r="Q78" s="2"/>
      <c r="R78" s="65"/>
      <c r="S78" s="65"/>
    </row>
    <row r="79" spans="1:19" ht="14.25" customHeight="1" hidden="1">
      <c r="A79" s="20"/>
      <c r="B79" s="214"/>
      <c r="C79" s="94"/>
      <c r="D79" s="151"/>
      <c r="E79" s="48"/>
      <c r="F79" s="72"/>
      <c r="G79" s="57"/>
      <c r="H79" s="107"/>
      <c r="I79" s="135">
        <f t="shared" si="6"/>
        <v>0</v>
      </c>
      <c r="J79" s="97" t="e">
        <f t="shared" si="7"/>
        <v>#DIV/0!</v>
      </c>
      <c r="Q79" s="2"/>
      <c r="R79" s="65"/>
      <c r="S79" s="65"/>
    </row>
    <row r="80" spans="1:19" ht="26.25" customHeight="1" hidden="1">
      <c r="A80" s="20"/>
      <c r="B80" s="23"/>
      <c r="C80" s="94" t="s">
        <v>27</v>
      </c>
      <c r="D80" s="151"/>
      <c r="E80" s="48"/>
      <c r="F80" s="72"/>
      <c r="G80" s="57"/>
      <c r="H80" s="107"/>
      <c r="I80" s="135">
        <f t="shared" si="6"/>
        <v>0</v>
      </c>
      <c r="J80" s="97" t="e">
        <f t="shared" si="7"/>
        <v>#DIV/0!</v>
      </c>
      <c r="Q80" s="2"/>
      <c r="R80" s="65"/>
      <c r="S80" s="65"/>
    </row>
    <row r="81" spans="1:19" ht="24.75" customHeight="1" hidden="1">
      <c r="A81" s="20"/>
      <c r="B81" s="23"/>
      <c r="C81" s="94" t="s">
        <v>28</v>
      </c>
      <c r="D81" s="151"/>
      <c r="E81" s="48"/>
      <c r="F81" s="72"/>
      <c r="G81" s="57"/>
      <c r="H81" s="107"/>
      <c r="I81" s="135">
        <f t="shared" si="6"/>
        <v>0</v>
      </c>
      <c r="J81" s="97" t="e">
        <f t="shared" si="7"/>
        <v>#DIV/0!</v>
      </c>
      <c r="Q81" s="2"/>
      <c r="R81" s="65"/>
      <c r="S81" s="65"/>
    </row>
    <row r="82" spans="1:19" ht="25.5" customHeight="1" hidden="1">
      <c r="A82" s="20"/>
      <c r="B82" s="23"/>
      <c r="C82" s="94" t="s">
        <v>29</v>
      </c>
      <c r="D82" s="151"/>
      <c r="E82" s="48"/>
      <c r="F82" s="72"/>
      <c r="G82" s="57"/>
      <c r="H82" s="107"/>
      <c r="I82" s="135">
        <f t="shared" si="6"/>
        <v>0</v>
      </c>
      <c r="J82" s="97" t="e">
        <f t="shared" si="7"/>
        <v>#DIV/0!</v>
      </c>
      <c r="Q82" s="2"/>
      <c r="R82" s="65"/>
      <c r="S82" s="65"/>
    </row>
    <row r="83" spans="1:19" ht="27.75" customHeight="1" hidden="1">
      <c r="A83" s="20"/>
      <c r="B83" s="23"/>
      <c r="C83" s="94" t="s">
        <v>30</v>
      </c>
      <c r="D83" s="151"/>
      <c r="E83" s="48"/>
      <c r="F83" s="72"/>
      <c r="G83" s="57"/>
      <c r="H83" s="107"/>
      <c r="I83" s="135">
        <f t="shared" si="6"/>
        <v>0</v>
      </c>
      <c r="J83" s="97" t="e">
        <f t="shared" si="7"/>
        <v>#DIV/0!</v>
      </c>
      <c r="Q83" s="2"/>
      <c r="R83" s="65"/>
      <c r="S83" s="65"/>
    </row>
    <row r="84" spans="1:19" ht="30.75" customHeight="1" hidden="1">
      <c r="A84" s="20"/>
      <c r="B84" s="23"/>
      <c r="C84" s="94" t="s">
        <v>31</v>
      </c>
      <c r="D84" s="151"/>
      <c r="E84" s="48"/>
      <c r="F84" s="72"/>
      <c r="G84" s="57"/>
      <c r="H84" s="107"/>
      <c r="I84" s="135">
        <f t="shared" si="6"/>
        <v>0</v>
      </c>
      <c r="J84" s="97" t="e">
        <f t="shared" si="7"/>
        <v>#DIV/0!</v>
      </c>
      <c r="Q84" s="2"/>
      <c r="R84" s="65"/>
      <c r="S84" s="65"/>
    </row>
    <row r="85" spans="1:19" ht="26.25" customHeight="1" hidden="1">
      <c r="A85" s="20"/>
      <c r="B85" s="23"/>
      <c r="C85" s="94" t="s">
        <v>32</v>
      </c>
      <c r="D85" s="151"/>
      <c r="E85" s="48"/>
      <c r="F85" s="72"/>
      <c r="G85" s="57"/>
      <c r="H85" s="107"/>
      <c r="I85" s="135">
        <f t="shared" si="6"/>
        <v>0</v>
      </c>
      <c r="J85" s="97" t="e">
        <f t="shared" si="7"/>
        <v>#DIV/0!</v>
      </c>
      <c r="Q85" s="2"/>
      <c r="R85" s="65"/>
      <c r="S85" s="65"/>
    </row>
    <row r="86" spans="1:19" ht="34.5" customHeight="1" hidden="1">
      <c r="A86" s="20"/>
      <c r="B86" s="23"/>
      <c r="C86" s="94" t="s">
        <v>33</v>
      </c>
      <c r="D86" s="151"/>
      <c r="E86" s="48"/>
      <c r="F86" s="72"/>
      <c r="G86" s="57"/>
      <c r="H86" s="107"/>
      <c r="I86" s="135">
        <f t="shared" si="6"/>
        <v>0</v>
      </c>
      <c r="J86" s="97" t="e">
        <f t="shared" si="7"/>
        <v>#DIV/0!</v>
      </c>
      <c r="Q86" s="2"/>
      <c r="R86" s="65"/>
      <c r="S86" s="65"/>
    </row>
    <row r="87" spans="1:19" ht="31.5" customHeight="1" hidden="1">
      <c r="A87" s="20"/>
      <c r="B87" s="23"/>
      <c r="C87" s="94" t="s">
        <v>34</v>
      </c>
      <c r="D87" s="151"/>
      <c r="E87" s="48"/>
      <c r="F87" s="72"/>
      <c r="G87" s="57"/>
      <c r="H87" s="107"/>
      <c r="I87" s="135">
        <f t="shared" si="6"/>
        <v>0</v>
      </c>
      <c r="J87" s="97" t="e">
        <f t="shared" si="7"/>
        <v>#DIV/0!</v>
      </c>
      <c r="Q87" s="2"/>
      <c r="R87" s="65"/>
      <c r="S87" s="65"/>
    </row>
    <row r="88" spans="1:19" ht="30" customHeight="1" hidden="1">
      <c r="A88" s="20"/>
      <c r="B88" s="23"/>
      <c r="C88" s="94" t="s">
        <v>35</v>
      </c>
      <c r="D88" s="151"/>
      <c r="E88" s="48"/>
      <c r="F88" s="72"/>
      <c r="G88" s="57"/>
      <c r="H88" s="107"/>
      <c r="I88" s="135">
        <f t="shared" si="6"/>
        <v>0</v>
      </c>
      <c r="J88" s="97" t="e">
        <f t="shared" si="7"/>
        <v>#DIV/0!</v>
      </c>
      <c r="Q88" s="2"/>
      <c r="R88" s="65"/>
      <c r="S88" s="65"/>
    </row>
    <row r="89" spans="1:17" ht="48" customHeight="1" hidden="1">
      <c r="A89" s="20"/>
      <c r="B89" s="181" t="s">
        <v>206</v>
      </c>
      <c r="C89" s="180" t="s">
        <v>36</v>
      </c>
      <c r="D89" s="151" t="s">
        <v>202</v>
      </c>
      <c r="E89" s="48" t="s">
        <v>271</v>
      </c>
      <c r="F89" s="72"/>
      <c r="G89" s="57"/>
      <c r="H89" s="107"/>
      <c r="I89" s="135">
        <f t="shared" si="6"/>
        <v>0</v>
      </c>
      <c r="J89" s="182" t="e">
        <f t="shared" si="7"/>
        <v>#DIV/0!</v>
      </c>
      <c r="Q89" s="2"/>
    </row>
    <row r="90" spans="1:17" ht="37.5" customHeight="1" hidden="1">
      <c r="A90" s="20"/>
      <c r="B90" s="181" t="s">
        <v>207</v>
      </c>
      <c r="C90" s="180" t="s">
        <v>36</v>
      </c>
      <c r="D90" s="151" t="s">
        <v>37</v>
      </c>
      <c r="E90" s="48" t="s">
        <v>272</v>
      </c>
      <c r="F90" s="72"/>
      <c r="G90" s="57"/>
      <c r="H90" s="107"/>
      <c r="I90" s="135">
        <f t="shared" si="6"/>
        <v>0</v>
      </c>
      <c r="J90" s="182" t="e">
        <f t="shared" si="7"/>
        <v>#DIV/0!</v>
      </c>
      <c r="Q90" s="2"/>
    </row>
    <row r="91" spans="1:17" ht="57.75" customHeight="1">
      <c r="A91" s="20"/>
      <c r="B91" s="24" t="s">
        <v>285</v>
      </c>
      <c r="C91" s="94" t="s">
        <v>36</v>
      </c>
      <c r="D91" s="151"/>
      <c r="E91" s="58" t="s">
        <v>283</v>
      </c>
      <c r="F91" s="57">
        <v>0</v>
      </c>
      <c r="G91" s="57">
        <v>6831667.44</v>
      </c>
      <c r="H91" s="67">
        <v>1998875.99</v>
      </c>
      <c r="I91" s="112">
        <f t="shared" si="6"/>
        <v>4832791.45</v>
      </c>
      <c r="J91" s="97" t="e">
        <f t="shared" si="7"/>
        <v>#DIV/0!</v>
      </c>
      <c r="Q91" s="2"/>
    </row>
    <row r="92" spans="1:17" ht="51" customHeight="1">
      <c r="A92" s="20"/>
      <c r="B92" s="24" t="s">
        <v>287</v>
      </c>
      <c r="C92" s="94" t="s">
        <v>36</v>
      </c>
      <c r="D92" s="151"/>
      <c r="E92" s="58" t="s">
        <v>284</v>
      </c>
      <c r="F92" s="57">
        <v>0</v>
      </c>
      <c r="G92" s="57">
        <v>20995949.52</v>
      </c>
      <c r="H92" s="67">
        <v>6142370.82</v>
      </c>
      <c r="I92" s="112">
        <f t="shared" si="6"/>
        <v>14853578.7</v>
      </c>
      <c r="J92" s="97" t="e">
        <f t="shared" si="7"/>
        <v>#DIV/0!</v>
      </c>
      <c r="Q92" s="2"/>
    </row>
    <row r="93" spans="1:17" ht="61.5" customHeight="1" hidden="1">
      <c r="A93" s="196">
        <v>9</v>
      </c>
      <c r="B93" s="199" t="s">
        <v>135</v>
      </c>
      <c r="C93" s="91"/>
      <c r="D93" s="157" t="s">
        <v>43</v>
      </c>
      <c r="E93" s="46" t="s">
        <v>96</v>
      </c>
      <c r="F93" s="136">
        <f>F94+F95+F96</f>
        <v>0</v>
      </c>
      <c r="G93" s="136">
        <f>G94+G95+G96</f>
        <v>0</v>
      </c>
      <c r="H93" s="136">
        <f>H94+H95+H96</f>
        <v>0</v>
      </c>
      <c r="I93" s="137">
        <f t="shared" si="6"/>
        <v>0</v>
      </c>
      <c r="J93" s="97" t="e">
        <f t="shared" si="7"/>
        <v>#DIV/0!</v>
      </c>
      <c r="Q93" s="2"/>
    </row>
    <row r="94" spans="1:17" ht="63" customHeight="1" hidden="1">
      <c r="A94" s="197"/>
      <c r="B94" s="200"/>
      <c r="C94" s="11">
        <v>912</v>
      </c>
      <c r="D94" s="59"/>
      <c r="E94" s="49"/>
      <c r="F94" s="72">
        <f>17000-17000</f>
        <v>0</v>
      </c>
      <c r="G94" s="72"/>
      <c r="H94" s="72"/>
      <c r="I94" s="135">
        <f t="shared" si="6"/>
        <v>0</v>
      </c>
      <c r="J94" s="97" t="e">
        <f t="shared" si="7"/>
        <v>#DIV/0!</v>
      </c>
      <c r="Q94" s="2"/>
    </row>
    <row r="95" spans="1:17" ht="48.75" customHeight="1" hidden="1">
      <c r="A95" s="197"/>
      <c r="B95" s="200"/>
      <c r="C95" s="11">
        <v>936</v>
      </c>
      <c r="D95" s="157"/>
      <c r="E95" s="46"/>
      <c r="F95" s="72">
        <f>16500-16500</f>
        <v>0</v>
      </c>
      <c r="G95" s="72"/>
      <c r="H95" s="72"/>
      <c r="I95" s="135">
        <f t="shared" si="6"/>
        <v>0</v>
      </c>
      <c r="J95" s="97" t="e">
        <f t="shared" si="7"/>
        <v>#DIV/0!</v>
      </c>
      <c r="Q95" s="2"/>
    </row>
    <row r="96" spans="1:17" ht="69.75" customHeight="1" hidden="1">
      <c r="A96" s="198"/>
      <c r="B96" s="201"/>
      <c r="C96" s="11">
        <v>912</v>
      </c>
      <c r="D96" s="157"/>
      <c r="E96" s="46"/>
      <c r="F96" s="72">
        <f>9000-4500-4500</f>
        <v>0</v>
      </c>
      <c r="G96" s="72"/>
      <c r="H96" s="72"/>
      <c r="I96" s="135">
        <f t="shared" si="6"/>
        <v>0</v>
      </c>
      <c r="J96" s="97" t="e">
        <f t="shared" si="7"/>
        <v>#DIV/0!</v>
      </c>
      <c r="Q96" s="2"/>
    </row>
    <row r="97" spans="1:17" ht="53.25" customHeight="1" hidden="1">
      <c r="A97" s="192">
        <v>10</v>
      </c>
      <c r="B97" s="193" t="s">
        <v>76</v>
      </c>
      <c r="C97" s="11"/>
      <c r="D97" s="152" t="s">
        <v>26</v>
      </c>
      <c r="E97" s="46" t="s">
        <v>99</v>
      </c>
      <c r="F97" s="133">
        <f>F98+F99+F100</f>
        <v>0</v>
      </c>
      <c r="G97" s="133">
        <f>G98+G99+G100</f>
        <v>0</v>
      </c>
      <c r="H97" s="133">
        <f>H98+H99+H100</f>
        <v>0</v>
      </c>
      <c r="I97" s="137">
        <f t="shared" si="6"/>
        <v>0</v>
      </c>
      <c r="J97" s="97" t="e">
        <f t="shared" si="7"/>
        <v>#DIV/0!</v>
      </c>
      <c r="Q97" s="2"/>
    </row>
    <row r="98" spans="1:17" ht="60.75" customHeight="1" hidden="1">
      <c r="A98" s="192"/>
      <c r="B98" s="193"/>
      <c r="C98" s="11">
        <v>912</v>
      </c>
      <c r="D98" s="161"/>
      <c r="E98" s="48"/>
      <c r="F98" s="72"/>
      <c r="G98" s="72"/>
      <c r="H98" s="72"/>
      <c r="I98" s="135">
        <f t="shared" si="6"/>
        <v>0</v>
      </c>
      <c r="J98" s="97" t="e">
        <f t="shared" si="7"/>
        <v>#DIV/0!</v>
      </c>
      <c r="Q98" s="2"/>
    </row>
    <row r="99" spans="1:17" ht="52.5" customHeight="1" hidden="1">
      <c r="A99" s="192"/>
      <c r="B99" s="193"/>
      <c r="C99" s="11">
        <v>936</v>
      </c>
      <c r="D99" s="152"/>
      <c r="E99" s="48"/>
      <c r="F99" s="72"/>
      <c r="G99" s="72"/>
      <c r="H99" s="72"/>
      <c r="I99" s="135">
        <f t="shared" si="6"/>
        <v>0</v>
      </c>
      <c r="J99" s="97" t="e">
        <f t="shared" si="7"/>
        <v>#DIV/0!</v>
      </c>
      <c r="Q99" s="2"/>
    </row>
    <row r="100" spans="1:17" ht="42" customHeight="1" hidden="1">
      <c r="A100" s="7"/>
      <c r="B100" s="193"/>
      <c r="C100" s="11">
        <v>935</v>
      </c>
      <c r="D100" s="152"/>
      <c r="E100" s="48"/>
      <c r="F100" s="72"/>
      <c r="G100" s="72"/>
      <c r="H100" s="72"/>
      <c r="I100" s="135">
        <f t="shared" si="6"/>
        <v>0</v>
      </c>
      <c r="J100" s="97" t="e">
        <f t="shared" si="7"/>
        <v>#DIV/0!</v>
      </c>
      <c r="Q100" s="2"/>
    </row>
    <row r="101" spans="1:17" ht="40.5" customHeight="1" hidden="1">
      <c r="A101" s="7">
        <v>12</v>
      </c>
      <c r="B101" s="29" t="s">
        <v>97</v>
      </c>
      <c r="C101" s="94" t="s">
        <v>38</v>
      </c>
      <c r="D101" s="162" t="s">
        <v>26</v>
      </c>
      <c r="E101" s="46" t="s">
        <v>98</v>
      </c>
      <c r="F101" s="72"/>
      <c r="G101" s="72"/>
      <c r="H101" s="72"/>
      <c r="I101" s="135">
        <f t="shared" si="6"/>
        <v>0</v>
      </c>
      <c r="J101" s="97" t="e">
        <f t="shared" si="7"/>
        <v>#DIV/0!</v>
      </c>
      <c r="Q101" s="2"/>
    </row>
    <row r="102" spans="1:17" ht="34.5" customHeight="1" hidden="1">
      <c r="A102" s="7"/>
      <c r="B102" s="88" t="s">
        <v>14</v>
      </c>
      <c r="C102" s="94" t="s">
        <v>44</v>
      </c>
      <c r="D102" s="158" t="s">
        <v>106</v>
      </c>
      <c r="E102" s="58" t="s">
        <v>109</v>
      </c>
      <c r="F102" s="72"/>
      <c r="G102" s="72"/>
      <c r="H102" s="72"/>
      <c r="I102" s="135">
        <f t="shared" si="6"/>
        <v>0</v>
      </c>
      <c r="J102" s="97" t="e">
        <f t="shared" si="7"/>
        <v>#DIV/0!</v>
      </c>
      <c r="Q102" s="2"/>
    </row>
    <row r="103" spans="1:17" ht="22.5" customHeight="1">
      <c r="A103" s="7">
        <v>34</v>
      </c>
      <c r="B103" s="37" t="s">
        <v>84</v>
      </c>
      <c r="C103" s="92" t="s">
        <v>58</v>
      </c>
      <c r="D103" s="5" t="s">
        <v>241</v>
      </c>
      <c r="E103" s="46"/>
      <c r="F103" s="113">
        <f>F104+F105+F106+F107+F108+F109+F110+F111+F112+F113+F114+F115+F116+F117</f>
        <v>29632700</v>
      </c>
      <c r="G103" s="113">
        <f>G104+G105+G106+G107+G108+G109+G110+G111+G112+G113+G114+G115+G116+G117</f>
        <v>22299317</v>
      </c>
      <c r="H103" s="113">
        <f>H104+H105+H106+H107+H108+H109+H110+H111+H112+H113+H114+H115+H116+H117</f>
        <v>22299317</v>
      </c>
      <c r="I103" s="113">
        <f>I104+I105+I106+I107+I108+I109+I110+I111+I112+I113+I114+I115+I116+I117</f>
        <v>0</v>
      </c>
      <c r="J103" s="97">
        <f t="shared" si="7"/>
        <v>75.25239684537691</v>
      </c>
      <c r="Q103" s="2"/>
    </row>
    <row r="104" spans="1:17" ht="16.5" customHeight="1">
      <c r="A104" s="7">
        <v>35</v>
      </c>
      <c r="B104" s="36" t="s">
        <v>59</v>
      </c>
      <c r="C104" s="11">
        <v>902</v>
      </c>
      <c r="D104" s="152"/>
      <c r="E104" s="46" t="s">
        <v>182</v>
      </c>
      <c r="F104" s="61">
        <v>3188300</v>
      </c>
      <c r="G104" s="61">
        <f>204000+327000+265900+256600+256600+284000+326200+205400+206000+59400</f>
        <v>2391100</v>
      </c>
      <c r="H104" s="61">
        <v>2391100</v>
      </c>
      <c r="I104" s="57">
        <f aca="true" t="shared" si="8" ref="I104:I112">G104-H104</f>
        <v>0</v>
      </c>
      <c r="J104" s="97">
        <f t="shared" si="7"/>
        <v>74.99607941536242</v>
      </c>
      <c r="Q104" s="2"/>
    </row>
    <row r="105" spans="1:17" ht="16.5" customHeight="1">
      <c r="A105" s="7"/>
      <c r="B105" s="36" t="s">
        <v>48</v>
      </c>
      <c r="C105" s="11">
        <v>902</v>
      </c>
      <c r="D105" s="5" t="s">
        <v>234</v>
      </c>
      <c r="E105" s="46" t="s">
        <v>233</v>
      </c>
      <c r="F105" s="61">
        <f>2443500+1557710</f>
        <v>4001210</v>
      </c>
      <c r="G105" s="61">
        <f>1500000+164213+633142+146145+930044</f>
        <v>3373544</v>
      </c>
      <c r="H105" s="61">
        <v>3373544</v>
      </c>
      <c r="I105" s="57">
        <f t="shared" si="8"/>
        <v>0</v>
      </c>
      <c r="J105" s="97">
        <f t="shared" si="7"/>
        <v>84.31309528867517</v>
      </c>
      <c r="Q105" s="2"/>
    </row>
    <row r="106" spans="1:17" ht="16.5" customHeight="1">
      <c r="A106" s="7"/>
      <c r="B106" s="36" t="s">
        <v>48</v>
      </c>
      <c r="C106" s="11">
        <v>902</v>
      </c>
      <c r="D106" s="5" t="s">
        <v>293</v>
      </c>
      <c r="E106" s="46" t="s">
        <v>292</v>
      </c>
      <c r="F106" s="61">
        <v>802300</v>
      </c>
      <c r="G106" s="61">
        <f>95000</f>
        <v>95000</v>
      </c>
      <c r="H106" s="61">
        <v>95000</v>
      </c>
      <c r="I106" s="57">
        <f t="shared" si="8"/>
        <v>0</v>
      </c>
      <c r="J106" s="97">
        <f t="shared" si="7"/>
        <v>11.840957247912252</v>
      </c>
      <c r="Q106" s="2"/>
    </row>
    <row r="107" spans="1:17" ht="16.5" customHeight="1">
      <c r="A107" s="7"/>
      <c r="B107" s="36" t="s">
        <v>61</v>
      </c>
      <c r="C107" s="11">
        <v>936</v>
      </c>
      <c r="D107" s="5" t="s">
        <v>293</v>
      </c>
      <c r="E107" s="46" t="s">
        <v>292</v>
      </c>
      <c r="F107" s="61">
        <v>71600</v>
      </c>
      <c r="G107" s="61">
        <f>13000</f>
        <v>13000</v>
      </c>
      <c r="H107" s="61">
        <v>13000</v>
      </c>
      <c r="I107" s="57">
        <f t="shared" si="8"/>
        <v>0</v>
      </c>
      <c r="J107" s="97">
        <f t="shared" si="7"/>
        <v>18.156424581005588</v>
      </c>
      <c r="Q107" s="2"/>
    </row>
    <row r="108" spans="1:17" ht="16.5" customHeight="1">
      <c r="A108" s="7"/>
      <c r="B108" s="36" t="s">
        <v>62</v>
      </c>
      <c r="C108" s="11">
        <v>992</v>
      </c>
      <c r="D108" s="5" t="s">
        <v>293</v>
      </c>
      <c r="E108" s="46" t="s">
        <v>292</v>
      </c>
      <c r="F108" s="61">
        <v>558800</v>
      </c>
      <c r="G108" s="61">
        <f>103000</f>
        <v>103000</v>
      </c>
      <c r="H108" s="61">
        <v>103000</v>
      </c>
      <c r="I108" s="57">
        <f t="shared" si="8"/>
        <v>0</v>
      </c>
      <c r="J108" s="97">
        <f t="shared" si="7"/>
        <v>18.432355046528276</v>
      </c>
      <c r="Q108" s="2"/>
    </row>
    <row r="109" spans="1:17" ht="15" customHeight="1">
      <c r="A109" s="192">
        <v>38</v>
      </c>
      <c r="B109" s="36" t="s">
        <v>40</v>
      </c>
      <c r="C109" s="11">
        <v>903</v>
      </c>
      <c r="D109" s="163" t="s">
        <v>219</v>
      </c>
      <c r="E109" s="46" t="s">
        <v>183</v>
      </c>
      <c r="F109" s="61">
        <v>7750500</v>
      </c>
      <c r="G109" s="61">
        <f>747000+1526068+201201+1731629+169793+799638+194900+524298+96915+467896+131866+230510+39332+13500+117969+31100</f>
        <v>7023615</v>
      </c>
      <c r="H109" s="67">
        <v>7023615</v>
      </c>
      <c r="I109" s="57">
        <f t="shared" si="8"/>
        <v>0</v>
      </c>
      <c r="J109" s="97">
        <f>G109/F109*100</f>
        <v>90.62144377782079</v>
      </c>
      <c r="Q109" s="2"/>
    </row>
    <row r="110" spans="1:17" ht="24" customHeight="1">
      <c r="A110" s="192"/>
      <c r="B110" s="36" t="s">
        <v>40</v>
      </c>
      <c r="C110" s="11">
        <v>903</v>
      </c>
      <c r="D110" s="163" t="s">
        <v>235</v>
      </c>
      <c r="E110" s="46" t="s">
        <v>232</v>
      </c>
      <c r="F110" s="61">
        <v>1566000</v>
      </c>
      <c r="G110" s="61">
        <f>90792+87856+94960+101720+106692+650+93534+1363+88267+68980+5550</f>
        <v>740364</v>
      </c>
      <c r="H110" s="67">
        <v>740364</v>
      </c>
      <c r="I110" s="57">
        <f t="shared" si="8"/>
        <v>0</v>
      </c>
      <c r="J110" s="97">
        <f>G110/F110*100</f>
        <v>47.27739463601532</v>
      </c>
      <c r="Q110" s="2"/>
    </row>
    <row r="111" spans="1:17" ht="24" customHeight="1">
      <c r="A111" s="192"/>
      <c r="B111" s="36" t="s">
        <v>60</v>
      </c>
      <c r="C111" s="11">
        <v>912</v>
      </c>
      <c r="D111" s="163" t="s">
        <v>234</v>
      </c>
      <c r="E111" s="46" t="s">
        <v>294</v>
      </c>
      <c r="F111" s="61">
        <v>369887</v>
      </c>
      <c r="G111" s="73"/>
      <c r="H111" s="67"/>
      <c r="I111" s="57">
        <f t="shared" si="8"/>
        <v>0</v>
      </c>
      <c r="J111" s="97">
        <f>G111/F111*100</f>
        <v>0</v>
      </c>
      <c r="Q111" s="2"/>
    </row>
    <row r="112" spans="1:17" ht="24" customHeight="1">
      <c r="A112" s="192"/>
      <c r="B112" s="36" t="s">
        <v>61</v>
      </c>
      <c r="C112" s="11">
        <v>936</v>
      </c>
      <c r="D112" s="163" t="s">
        <v>234</v>
      </c>
      <c r="E112" s="46" t="s">
        <v>294</v>
      </c>
      <c r="F112" s="61">
        <v>8173</v>
      </c>
      <c r="G112" s="61">
        <f>7475</f>
        <v>7475</v>
      </c>
      <c r="H112" s="67">
        <v>7475</v>
      </c>
      <c r="I112" s="57">
        <f t="shared" si="8"/>
        <v>0</v>
      </c>
      <c r="J112" s="97">
        <f>G112/F112*100</f>
        <v>91.45968432644071</v>
      </c>
      <c r="Q112" s="2"/>
    </row>
    <row r="113" spans="1:17" ht="15" customHeight="1">
      <c r="A113" s="192"/>
      <c r="B113" s="36" t="s">
        <v>40</v>
      </c>
      <c r="C113" s="11">
        <v>903</v>
      </c>
      <c r="D113" s="5" t="s">
        <v>234</v>
      </c>
      <c r="E113" s="46" t="s">
        <v>233</v>
      </c>
      <c r="F113" s="61">
        <f>247500+484230</f>
        <v>731730</v>
      </c>
      <c r="G113" s="61">
        <f>82678+82001+384840</f>
        <v>549519</v>
      </c>
      <c r="H113" s="67">
        <v>549519</v>
      </c>
      <c r="I113" s="57">
        <f aca="true" t="shared" si="9" ref="I113:I119">G113-H113</f>
        <v>0</v>
      </c>
      <c r="J113" s="97">
        <f aca="true" t="shared" si="10" ref="J113:J128">G113/F113*100</f>
        <v>75.09860194333976</v>
      </c>
      <c r="Q113" s="2"/>
    </row>
    <row r="114" spans="1:17" ht="14.25" customHeight="1">
      <c r="A114" s="192"/>
      <c r="B114" s="36" t="s">
        <v>60</v>
      </c>
      <c r="C114" s="11">
        <v>912</v>
      </c>
      <c r="D114" s="152"/>
      <c r="E114" s="53" t="s">
        <v>184</v>
      </c>
      <c r="F114" s="61">
        <v>1541000</v>
      </c>
      <c r="G114" s="61">
        <f>98600+158000+128600+128400+128400+128500+128400+128500+100000+28400</f>
        <v>1155800</v>
      </c>
      <c r="H114" s="61">
        <v>1155800</v>
      </c>
      <c r="I114" s="57">
        <f t="shared" si="9"/>
        <v>0</v>
      </c>
      <c r="J114" s="97">
        <f t="shared" si="10"/>
        <v>75.00324464633354</v>
      </c>
      <c r="Q114" s="2"/>
    </row>
    <row r="115" spans="1:18" ht="14.25" customHeight="1" hidden="1">
      <c r="A115" s="192"/>
      <c r="B115" s="36" t="s">
        <v>156</v>
      </c>
      <c r="C115" s="11">
        <v>935</v>
      </c>
      <c r="D115" s="152"/>
      <c r="E115" s="52" t="s">
        <v>185</v>
      </c>
      <c r="F115" s="73"/>
      <c r="G115" s="73"/>
      <c r="H115" s="61"/>
      <c r="I115" s="57">
        <f t="shared" si="9"/>
        <v>0</v>
      </c>
      <c r="J115" s="97" t="e">
        <f t="shared" si="10"/>
        <v>#DIV/0!</v>
      </c>
      <c r="Q115" s="2"/>
      <c r="R115" s="8"/>
    </row>
    <row r="116" spans="1:18" ht="16.5" customHeight="1">
      <c r="A116" s="192"/>
      <c r="B116" s="36" t="s">
        <v>61</v>
      </c>
      <c r="C116" s="11">
        <v>936</v>
      </c>
      <c r="D116" s="163" t="s">
        <v>220</v>
      </c>
      <c r="E116" s="46" t="s">
        <v>182</v>
      </c>
      <c r="F116" s="61">
        <v>7066000</v>
      </c>
      <c r="G116" s="61">
        <f>534000+628000+604500+580000+700000+641000+650000+430000+288000+277000</f>
        <v>5332500</v>
      </c>
      <c r="H116" s="67">
        <v>5332500</v>
      </c>
      <c r="I116" s="57">
        <f t="shared" si="9"/>
        <v>0</v>
      </c>
      <c r="J116" s="97">
        <f t="shared" si="10"/>
        <v>75.46702519105575</v>
      </c>
      <c r="Q116" s="2"/>
      <c r="R116" s="8"/>
    </row>
    <row r="117" spans="1:17" ht="15" customHeight="1">
      <c r="A117" s="192"/>
      <c r="B117" s="36" t="s">
        <v>62</v>
      </c>
      <c r="C117" s="11">
        <v>992</v>
      </c>
      <c r="D117" s="152"/>
      <c r="E117" s="46" t="s">
        <v>182</v>
      </c>
      <c r="F117" s="61">
        <v>1977200</v>
      </c>
      <c r="G117" s="61">
        <f>126500+202500+164800+164900+164900+164700+164900+164900+158000+38300</f>
        <v>1514400</v>
      </c>
      <c r="H117" s="61">
        <v>1514400</v>
      </c>
      <c r="I117" s="57">
        <f t="shared" si="9"/>
        <v>0</v>
      </c>
      <c r="J117" s="97">
        <f t="shared" si="10"/>
        <v>76.59316204733967</v>
      </c>
      <c r="Q117" s="2"/>
    </row>
    <row r="118" spans="1:17" ht="39" customHeight="1" hidden="1">
      <c r="A118" s="192"/>
      <c r="B118" s="85" t="s">
        <v>152</v>
      </c>
      <c r="C118" s="11" t="s">
        <v>44</v>
      </c>
      <c r="D118" s="152" t="s">
        <v>64</v>
      </c>
      <c r="E118" s="46" t="s">
        <v>112</v>
      </c>
      <c r="F118" s="73"/>
      <c r="G118" s="73"/>
      <c r="H118" s="73"/>
      <c r="I118" s="72">
        <f t="shared" si="9"/>
        <v>0</v>
      </c>
      <c r="J118" s="97" t="e">
        <f t="shared" si="10"/>
        <v>#DIV/0!</v>
      </c>
      <c r="Q118" s="2"/>
    </row>
    <row r="119" spans="1:17" ht="51.75" customHeight="1" hidden="1">
      <c r="A119" s="192"/>
      <c r="B119" s="85" t="s">
        <v>154</v>
      </c>
      <c r="C119" s="11" t="s">
        <v>44</v>
      </c>
      <c r="D119" s="151" t="s">
        <v>39</v>
      </c>
      <c r="E119" s="46" t="s">
        <v>113</v>
      </c>
      <c r="F119" s="73"/>
      <c r="G119" s="73"/>
      <c r="H119" s="73"/>
      <c r="I119" s="72">
        <f t="shared" si="9"/>
        <v>0</v>
      </c>
      <c r="J119" s="97" t="e">
        <f t="shared" si="10"/>
        <v>#DIV/0!</v>
      </c>
      <c r="Q119" s="2"/>
    </row>
    <row r="120" spans="1:17" ht="42.75" customHeight="1" hidden="1">
      <c r="A120" s="7"/>
      <c r="B120" s="19" t="s">
        <v>158</v>
      </c>
      <c r="C120" s="11" t="s">
        <v>38</v>
      </c>
      <c r="D120" s="151" t="s">
        <v>39</v>
      </c>
      <c r="E120" s="46" t="s">
        <v>107</v>
      </c>
      <c r="F120" s="73"/>
      <c r="G120" s="73"/>
      <c r="H120" s="73"/>
      <c r="I120" s="72"/>
      <c r="J120" s="97" t="e">
        <f t="shared" si="10"/>
        <v>#DIV/0!</v>
      </c>
      <c r="Q120" s="2"/>
    </row>
    <row r="121" spans="1:17" ht="53.25" customHeight="1" hidden="1">
      <c r="A121" s="7"/>
      <c r="B121" s="19" t="s">
        <v>160</v>
      </c>
      <c r="C121" s="11" t="s">
        <v>44</v>
      </c>
      <c r="D121" s="151" t="s">
        <v>64</v>
      </c>
      <c r="E121" s="46" t="s">
        <v>159</v>
      </c>
      <c r="F121" s="73"/>
      <c r="G121" s="73"/>
      <c r="H121" s="73"/>
      <c r="I121" s="72">
        <f aca="true" t="shared" si="11" ref="I121:I133">G121-H121</f>
        <v>0</v>
      </c>
      <c r="J121" s="97" t="e">
        <f t="shared" si="10"/>
        <v>#DIV/0!</v>
      </c>
      <c r="Q121" s="2"/>
    </row>
    <row r="122" spans="1:17" ht="48" customHeight="1" hidden="1">
      <c r="A122" s="7">
        <v>41</v>
      </c>
      <c r="B122" s="28" t="s">
        <v>12</v>
      </c>
      <c r="C122" s="11" t="s">
        <v>41</v>
      </c>
      <c r="D122" s="152" t="s">
        <v>26</v>
      </c>
      <c r="E122" s="39" t="s">
        <v>193</v>
      </c>
      <c r="F122" s="72"/>
      <c r="G122" s="72"/>
      <c r="H122" s="72"/>
      <c r="I122" s="72">
        <f t="shared" si="11"/>
        <v>0</v>
      </c>
      <c r="J122" s="97" t="e">
        <f t="shared" si="10"/>
        <v>#DIV/0!</v>
      </c>
      <c r="Q122" s="2"/>
    </row>
    <row r="123" spans="1:17" ht="33" customHeight="1" hidden="1">
      <c r="A123" s="7"/>
      <c r="B123" s="70" t="s">
        <v>132</v>
      </c>
      <c r="C123" s="11" t="s">
        <v>41</v>
      </c>
      <c r="D123" s="151" t="s">
        <v>163</v>
      </c>
      <c r="E123" s="39" t="s">
        <v>151</v>
      </c>
      <c r="F123" s="72"/>
      <c r="G123" s="72"/>
      <c r="H123" s="72"/>
      <c r="I123" s="72">
        <f t="shared" si="11"/>
        <v>0</v>
      </c>
      <c r="J123" s="97" t="e">
        <f t="shared" si="10"/>
        <v>#DIV/0!</v>
      </c>
      <c r="Q123" s="2"/>
    </row>
    <row r="124" spans="1:18" ht="27.75" customHeight="1">
      <c r="A124" s="7">
        <v>42</v>
      </c>
      <c r="B124" s="85" t="s">
        <v>150</v>
      </c>
      <c r="C124" s="41" t="s">
        <v>65</v>
      </c>
      <c r="D124" s="141" t="s">
        <v>5</v>
      </c>
      <c r="E124" s="39" t="s">
        <v>210</v>
      </c>
      <c r="F124" s="57">
        <f>20200000+2586700+2269000</f>
        <v>25055700</v>
      </c>
      <c r="G124" s="57">
        <f>868168+2586697+814696+1169922+670820+1747745+5945946+1096947+5169063</f>
        <v>20070004</v>
      </c>
      <c r="H124" s="57">
        <v>20070004</v>
      </c>
      <c r="I124" s="57">
        <f t="shared" si="11"/>
        <v>0</v>
      </c>
      <c r="J124" s="97">
        <f t="shared" si="10"/>
        <v>80.10154974716332</v>
      </c>
      <c r="Q124" s="2"/>
      <c r="R124" s="65"/>
    </row>
    <row r="125" spans="1:17" ht="48.75" customHeight="1" hidden="1">
      <c r="A125" s="7"/>
      <c r="B125" s="85" t="s">
        <v>155</v>
      </c>
      <c r="C125" s="41" t="s">
        <v>91</v>
      </c>
      <c r="D125" s="154" t="s">
        <v>108</v>
      </c>
      <c r="E125" s="39" t="s">
        <v>149</v>
      </c>
      <c r="F125" s="72"/>
      <c r="G125" s="72"/>
      <c r="H125" s="72"/>
      <c r="I125" s="72">
        <f t="shared" si="11"/>
        <v>0</v>
      </c>
      <c r="J125" s="97" t="e">
        <f t="shared" si="10"/>
        <v>#DIV/0!</v>
      </c>
      <c r="Q125" s="2"/>
    </row>
    <row r="126" spans="1:17" ht="45.75" customHeight="1" hidden="1">
      <c r="A126" s="7"/>
      <c r="B126" s="29" t="s">
        <v>110</v>
      </c>
      <c r="C126" s="41" t="s">
        <v>91</v>
      </c>
      <c r="D126" s="154" t="s">
        <v>26</v>
      </c>
      <c r="E126" s="39" t="s">
        <v>111</v>
      </c>
      <c r="F126" s="149"/>
      <c r="G126" s="72"/>
      <c r="H126" s="72"/>
      <c r="I126" s="72">
        <f t="shared" si="11"/>
        <v>0</v>
      </c>
      <c r="J126" s="97" t="e">
        <f t="shared" si="10"/>
        <v>#DIV/0!</v>
      </c>
      <c r="Q126" s="2"/>
    </row>
    <row r="127" spans="1:18" ht="50.25" customHeight="1">
      <c r="A127" s="7"/>
      <c r="B127" s="60" t="s">
        <v>246</v>
      </c>
      <c r="C127" s="41" t="s">
        <v>40</v>
      </c>
      <c r="D127" s="5" t="s">
        <v>241</v>
      </c>
      <c r="E127" s="46" t="s">
        <v>194</v>
      </c>
      <c r="F127" s="61">
        <v>534600</v>
      </c>
      <c r="G127" s="57">
        <f>296460+152280+52650+33210</f>
        <v>534600</v>
      </c>
      <c r="H127" s="57">
        <v>534600</v>
      </c>
      <c r="I127" s="57">
        <f t="shared" si="11"/>
        <v>0</v>
      </c>
      <c r="J127" s="97">
        <f t="shared" si="10"/>
        <v>100</v>
      </c>
      <c r="Q127" s="2"/>
      <c r="R127" s="8"/>
    </row>
    <row r="128" spans="1:18" ht="66.75" customHeight="1">
      <c r="A128" s="7"/>
      <c r="B128" s="86" t="s">
        <v>251</v>
      </c>
      <c r="C128" s="41" t="s">
        <v>91</v>
      </c>
      <c r="D128" s="174" t="s">
        <v>252</v>
      </c>
      <c r="E128" s="46" t="s">
        <v>267</v>
      </c>
      <c r="F128" s="61">
        <f>496700+5200+20100</f>
        <v>522000</v>
      </c>
      <c r="G128" s="57">
        <f>419221.41+99494.03</f>
        <v>518715.43999999994</v>
      </c>
      <c r="H128" s="57">
        <v>518715.44</v>
      </c>
      <c r="I128" s="57">
        <f t="shared" si="11"/>
        <v>0</v>
      </c>
      <c r="J128" s="97">
        <f t="shared" si="10"/>
        <v>99.37077394636015</v>
      </c>
      <c r="Q128" s="2"/>
      <c r="R128" s="65"/>
    </row>
    <row r="129" spans="1:17" ht="54" customHeight="1" hidden="1">
      <c r="A129" s="7"/>
      <c r="B129" s="86" t="s">
        <v>250</v>
      </c>
      <c r="C129" s="41" t="s">
        <v>91</v>
      </c>
      <c r="D129" s="174" t="s">
        <v>253</v>
      </c>
      <c r="E129" s="46" t="s">
        <v>249</v>
      </c>
      <c r="F129" s="61">
        <f>5200-5200</f>
        <v>0</v>
      </c>
      <c r="G129" s="72"/>
      <c r="H129" s="72"/>
      <c r="I129" s="72">
        <f t="shared" si="11"/>
        <v>0</v>
      </c>
      <c r="J129" s="97" t="e">
        <f aca="true" t="shared" si="12" ref="J129:J152">G129/F129*100</f>
        <v>#DIV/0!</v>
      </c>
      <c r="Q129" s="2"/>
    </row>
    <row r="130" spans="1:18" ht="57" customHeight="1" hidden="1">
      <c r="A130" s="7"/>
      <c r="B130" s="26" t="s">
        <v>161</v>
      </c>
      <c r="C130" s="41" t="s">
        <v>117</v>
      </c>
      <c r="D130" s="153" t="s">
        <v>26</v>
      </c>
      <c r="E130" s="46" t="s">
        <v>162</v>
      </c>
      <c r="F130" s="73"/>
      <c r="G130" s="72"/>
      <c r="H130" s="72"/>
      <c r="I130" s="72">
        <f t="shared" si="11"/>
        <v>0</v>
      </c>
      <c r="J130" s="97" t="e">
        <f t="shared" si="12"/>
        <v>#DIV/0!</v>
      </c>
      <c r="Q130" s="2"/>
      <c r="R130" s="65"/>
    </row>
    <row r="131" spans="1:18" ht="48" customHeight="1">
      <c r="A131" s="7"/>
      <c r="B131" s="142" t="s">
        <v>279</v>
      </c>
      <c r="C131" s="41" t="s">
        <v>91</v>
      </c>
      <c r="D131" s="141" t="s">
        <v>281</v>
      </c>
      <c r="E131" s="188" t="s">
        <v>280</v>
      </c>
      <c r="F131" s="61">
        <f>231358.68-231358.68</f>
        <v>0</v>
      </c>
      <c r="G131" s="72"/>
      <c r="H131" s="72"/>
      <c r="I131" s="57">
        <f t="shared" si="11"/>
        <v>0</v>
      </c>
      <c r="J131" s="97" t="e">
        <f t="shared" si="12"/>
        <v>#DIV/0!</v>
      </c>
      <c r="Q131" s="2"/>
      <c r="R131" s="65"/>
    </row>
    <row r="132" spans="1:17" ht="53.25" customHeight="1">
      <c r="A132" s="7"/>
      <c r="B132" s="184" t="s">
        <v>277</v>
      </c>
      <c r="C132" s="41" t="s">
        <v>40</v>
      </c>
      <c r="D132" s="185" t="s">
        <v>276</v>
      </c>
      <c r="E132" s="46" t="s">
        <v>3</v>
      </c>
      <c r="F132" s="61">
        <v>986000</v>
      </c>
      <c r="G132" s="57">
        <f>300200</f>
        <v>300200</v>
      </c>
      <c r="H132" s="57">
        <v>300200</v>
      </c>
      <c r="I132" s="57">
        <f t="shared" si="11"/>
        <v>0</v>
      </c>
      <c r="J132" s="97">
        <f t="shared" si="12"/>
        <v>30.44624746450304</v>
      </c>
      <c r="Q132" s="2"/>
    </row>
    <row r="133" spans="1:17" ht="68.25" customHeight="1">
      <c r="A133" s="7"/>
      <c r="B133" s="172" t="s">
        <v>290</v>
      </c>
      <c r="C133" s="11" t="s">
        <v>47</v>
      </c>
      <c r="D133" s="141" t="s">
        <v>289</v>
      </c>
      <c r="E133" s="46" t="s">
        <v>2</v>
      </c>
      <c r="F133" s="57">
        <v>51621</v>
      </c>
      <c r="G133" s="72"/>
      <c r="H133" s="72"/>
      <c r="I133" s="112">
        <f t="shared" si="11"/>
        <v>0</v>
      </c>
      <c r="J133" s="97">
        <f t="shared" si="12"/>
        <v>0</v>
      </c>
      <c r="Q133" s="2"/>
    </row>
    <row r="134" spans="1:17" ht="68.25" customHeight="1">
      <c r="A134" s="7"/>
      <c r="B134" s="172" t="s">
        <v>290</v>
      </c>
      <c r="C134" s="11" t="s">
        <v>47</v>
      </c>
      <c r="D134" s="141" t="s">
        <v>289</v>
      </c>
      <c r="E134" s="46" t="s">
        <v>296</v>
      </c>
      <c r="F134" s="57">
        <v>12214</v>
      </c>
      <c r="G134" s="72"/>
      <c r="H134" s="72"/>
      <c r="I134" s="112">
        <f>G134-H134</f>
        <v>0</v>
      </c>
      <c r="J134" s="97">
        <f>G134/F134*100</f>
        <v>0</v>
      </c>
      <c r="Q134" s="2"/>
    </row>
    <row r="135" spans="1:17" ht="22.5" customHeight="1">
      <c r="A135" s="7"/>
      <c r="B135" s="80" t="s">
        <v>143</v>
      </c>
      <c r="C135" s="81"/>
      <c r="D135" s="164"/>
      <c r="E135" s="82"/>
      <c r="F135" s="168">
        <f>F73+F89+F90+F91+F92+F93+F97+F101+F102+F103+F118+F119+F120+F121+F122+F123+F124+F125+F126+F127+F128+F129+F130+F131+F132+F133+F134</f>
        <v>58972267</v>
      </c>
      <c r="G135" s="168">
        <f>G73+G89+G90+G91+G92+G93+G97+G101+G102+G103+G118+G119+G120+G121+G122+G123+G124+G125+G126+G127+G128+G129+G130+G131+G132+G133+G134</f>
        <v>73727884.38</v>
      </c>
      <c r="H135" s="168">
        <f>H73+H89+H90+H91+H92+H93+H97+H101+H102+H103+H118+H119+H120+H121+H122+H123+H124+H125+H126+H127+H128+H129+H130+H131+H132+H133+H134</f>
        <v>54041514.23</v>
      </c>
      <c r="I135" s="168">
        <f>I73+I89+I90+I91+I92+I93+I97+I101+I102+I103+I118+I119+I120+I121+I122+I123+I124+I125+I126+I127+I128+I129+I130+I131+I132+I133+I134</f>
        <v>19686370.15</v>
      </c>
      <c r="J135" s="105">
        <f t="shared" si="12"/>
        <v>125.02128225798069</v>
      </c>
      <c r="Q135" s="2"/>
    </row>
    <row r="136" spans="1:18" ht="62.25" customHeight="1">
      <c r="A136" s="7"/>
      <c r="B136" s="24" t="s">
        <v>291</v>
      </c>
      <c r="C136" s="94" t="s">
        <v>25</v>
      </c>
      <c r="D136" s="178" t="s">
        <v>278</v>
      </c>
      <c r="E136" s="58" t="s">
        <v>216</v>
      </c>
      <c r="F136" s="57">
        <v>489375</v>
      </c>
      <c r="G136" s="57">
        <v>489375</v>
      </c>
      <c r="H136" s="67">
        <v>489375</v>
      </c>
      <c r="I136" s="112">
        <f aca="true" t="shared" si="13" ref="I136:I147">G136-H136</f>
        <v>0</v>
      </c>
      <c r="J136" s="97">
        <f t="shared" si="12"/>
        <v>100</v>
      </c>
      <c r="Q136" s="2"/>
      <c r="R136" s="65"/>
    </row>
    <row r="137" spans="1:17" ht="56.25" customHeight="1" hidden="1">
      <c r="A137" s="7"/>
      <c r="B137" s="25" t="s">
        <v>100</v>
      </c>
      <c r="C137" s="11" t="s">
        <v>38</v>
      </c>
      <c r="D137" s="151" t="s">
        <v>45</v>
      </c>
      <c r="E137" s="46" t="s">
        <v>101</v>
      </c>
      <c r="F137" s="72"/>
      <c r="G137" s="72"/>
      <c r="H137" s="107"/>
      <c r="I137" s="135">
        <f t="shared" si="13"/>
        <v>0</v>
      </c>
      <c r="J137" s="97" t="e">
        <f t="shared" si="12"/>
        <v>#DIV/0!</v>
      </c>
      <c r="Q137" s="2"/>
    </row>
    <row r="138" spans="1:17" ht="50.25" customHeight="1" hidden="1">
      <c r="A138" s="7"/>
      <c r="B138" s="25" t="s">
        <v>102</v>
      </c>
      <c r="C138" s="11" t="s">
        <v>38</v>
      </c>
      <c r="D138" s="151" t="s">
        <v>45</v>
      </c>
      <c r="E138" s="46" t="s">
        <v>103</v>
      </c>
      <c r="F138" s="72"/>
      <c r="G138" s="72"/>
      <c r="H138" s="107"/>
      <c r="I138" s="135">
        <f t="shared" si="13"/>
        <v>0</v>
      </c>
      <c r="J138" s="97" t="e">
        <f t="shared" si="12"/>
        <v>#DIV/0!</v>
      </c>
      <c r="Q138" s="2"/>
    </row>
    <row r="139" spans="1:17" ht="49.5" customHeight="1" hidden="1">
      <c r="A139" s="7"/>
      <c r="B139" s="25" t="s">
        <v>105</v>
      </c>
      <c r="C139" s="11" t="s">
        <v>40</v>
      </c>
      <c r="D139" s="152" t="s">
        <v>45</v>
      </c>
      <c r="E139" s="48"/>
      <c r="F139" s="72"/>
      <c r="G139" s="72"/>
      <c r="H139" s="72"/>
      <c r="I139" s="135">
        <f t="shared" si="13"/>
        <v>0</v>
      </c>
      <c r="J139" s="97" t="e">
        <f t="shared" si="12"/>
        <v>#DIV/0!</v>
      </c>
      <c r="Q139" s="2"/>
    </row>
    <row r="140" spans="1:17" ht="48.75" customHeight="1" hidden="1">
      <c r="A140" s="7"/>
      <c r="B140" s="30" t="s">
        <v>77</v>
      </c>
      <c r="C140" s="11" t="s">
        <v>40</v>
      </c>
      <c r="D140" s="152" t="s">
        <v>45</v>
      </c>
      <c r="E140" s="48"/>
      <c r="F140" s="72"/>
      <c r="G140" s="72"/>
      <c r="H140" s="72"/>
      <c r="I140" s="135">
        <f t="shared" si="13"/>
        <v>0</v>
      </c>
      <c r="J140" s="97" t="e">
        <f t="shared" si="12"/>
        <v>#DIV/0!</v>
      </c>
      <c r="Q140" s="2"/>
    </row>
    <row r="141" spans="1:17" ht="48" customHeight="1" hidden="1">
      <c r="A141" s="7"/>
      <c r="B141" s="30" t="s">
        <v>78</v>
      </c>
      <c r="C141" s="11" t="s">
        <v>40</v>
      </c>
      <c r="D141" s="152" t="s">
        <v>45</v>
      </c>
      <c r="E141" s="48"/>
      <c r="F141" s="72"/>
      <c r="G141" s="72"/>
      <c r="H141" s="72"/>
      <c r="I141" s="135">
        <f t="shared" si="13"/>
        <v>0</v>
      </c>
      <c r="J141" s="97" t="e">
        <f t="shared" si="12"/>
        <v>#DIV/0!</v>
      </c>
      <c r="Q141" s="2"/>
    </row>
    <row r="142" spans="1:17" ht="51" customHeight="1" hidden="1">
      <c r="A142" s="7"/>
      <c r="B142" s="31" t="s">
        <v>46</v>
      </c>
      <c r="C142" s="11" t="s">
        <v>40</v>
      </c>
      <c r="D142" s="152" t="s">
        <v>45</v>
      </c>
      <c r="E142" s="48"/>
      <c r="F142" s="72"/>
      <c r="G142" s="72"/>
      <c r="H142" s="72"/>
      <c r="I142" s="135">
        <f t="shared" si="13"/>
        <v>0</v>
      </c>
      <c r="J142" s="97" t="e">
        <f t="shared" si="12"/>
        <v>#DIV/0!</v>
      </c>
      <c r="Q142" s="2"/>
    </row>
    <row r="143" spans="1:17" ht="60.75" customHeight="1" hidden="1">
      <c r="A143" s="7"/>
      <c r="B143" s="4" t="s">
        <v>225</v>
      </c>
      <c r="C143" s="11" t="s">
        <v>47</v>
      </c>
      <c r="D143" s="152"/>
      <c r="E143" s="46" t="s">
        <v>226</v>
      </c>
      <c r="F143" s="72"/>
      <c r="G143" s="72"/>
      <c r="H143" s="72"/>
      <c r="I143" s="135">
        <f t="shared" si="13"/>
        <v>0</v>
      </c>
      <c r="J143" s="97" t="e">
        <f t="shared" si="12"/>
        <v>#DIV/0!</v>
      </c>
      <c r="Q143" s="2"/>
    </row>
    <row r="144" spans="1:17" ht="75" customHeight="1" hidden="1">
      <c r="A144" s="7"/>
      <c r="B144" s="172"/>
      <c r="C144" s="11"/>
      <c r="D144" s="141"/>
      <c r="E144" s="46"/>
      <c r="F144" s="57"/>
      <c r="G144" s="72"/>
      <c r="H144" s="72"/>
      <c r="I144" s="135">
        <f t="shared" si="13"/>
        <v>0</v>
      </c>
      <c r="J144" s="97" t="e">
        <f t="shared" si="12"/>
        <v>#DIV/0!</v>
      </c>
      <c r="Q144" s="2"/>
    </row>
    <row r="145" spans="1:17" ht="42" customHeight="1" hidden="1">
      <c r="A145" s="7"/>
      <c r="B145" s="29" t="s">
        <v>139</v>
      </c>
      <c r="C145" s="93" t="s">
        <v>153</v>
      </c>
      <c r="D145" s="159" t="s">
        <v>45</v>
      </c>
      <c r="E145" s="46" t="s">
        <v>140</v>
      </c>
      <c r="F145" s="121"/>
      <c r="G145" s="121"/>
      <c r="H145" s="121"/>
      <c r="I145" s="135">
        <f t="shared" si="13"/>
        <v>0</v>
      </c>
      <c r="J145" s="97" t="e">
        <f t="shared" si="12"/>
        <v>#DIV/0!</v>
      </c>
      <c r="Q145" s="2"/>
    </row>
    <row r="146" spans="1:17" ht="39.75" customHeight="1" hidden="1">
      <c r="A146" s="7"/>
      <c r="B146" s="29" t="s">
        <v>229</v>
      </c>
      <c r="C146" s="93" t="s">
        <v>165</v>
      </c>
      <c r="D146" s="159" t="s">
        <v>45</v>
      </c>
      <c r="E146" s="46" t="s">
        <v>228</v>
      </c>
      <c r="F146" s="121"/>
      <c r="G146" s="121"/>
      <c r="H146" s="121"/>
      <c r="I146" s="135">
        <f t="shared" si="13"/>
        <v>0</v>
      </c>
      <c r="J146" s="97" t="e">
        <f t="shared" si="12"/>
        <v>#DIV/0!</v>
      </c>
      <c r="Q146" s="2"/>
    </row>
    <row r="147" spans="1:17" ht="33" customHeight="1" hidden="1">
      <c r="A147" s="7"/>
      <c r="B147" s="29" t="s">
        <v>229</v>
      </c>
      <c r="C147" s="93" t="s">
        <v>165</v>
      </c>
      <c r="D147" s="159" t="s">
        <v>45</v>
      </c>
      <c r="E147" s="46" t="s">
        <v>215</v>
      </c>
      <c r="F147" s="121"/>
      <c r="G147" s="121"/>
      <c r="H147" s="121"/>
      <c r="I147" s="135">
        <f t="shared" si="13"/>
        <v>0</v>
      </c>
      <c r="J147" s="97" t="e">
        <f t="shared" si="12"/>
        <v>#DIV/0!</v>
      </c>
      <c r="Q147" s="2"/>
    </row>
    <row r="148" spans="1:17" ht="22.5" customHeight="1">
      <c r="A148" s="7"/>
      <c r="B148" s="80" t="s">
        <v>144</v>
      </c>
      <c r="C148" s="84"/>
      <c r="D148" s="164"/>
      <c r="E148" s="83"/>
      <c r="F148" s="168">
        <f>SUM(F136:F147)</f>
        <v>489375</v>
      </c>
      <c r="G148" s="168">
        <f>SUM(G136:G147)</f>
        <v>489375</v>
      </c>
      <c r="H148" s="168">
        <f>SUM(H136:H147)</f>
        <v>489375</v>
      </c>
      <c r="I148" s="168">
        <f>SUM(I136:I147)</f>
        <v>0</v>
      </c>
      <c r="J148" s="105">
        <f t="shared" si="12"/>
        <v>100</v>
      </c>
      <c r="Q148" s="2"/>
    </row>
    <row r="149" spans="1:17" ht="30.75" customHeight="1">
      <c r="A149" s="7">
        <v>43</v>
      </c>
      <c r="B149" s="29" t="s">
        <v>86</v>
      </c>
      <c r="C149" s="11" t="s">
        <v>66</v>
      </c>
      <c r="D149" s="160" t="s">
        <v>242</v>
      </c>
      <c r="E149" s="48"/>
      <c r="F149" s="61">
        <v>43979000</v>
      </c>
      <c r="G149" s="61">
        <f>3664917+3664917+3664917+3664917+3664917+3664917+3664917+3664917+3664917</f>
        <v>32984253</v>
      </c>
      <c r="H149" s="61">
        <v>32984253</v>
      </c>
      <c r="I149" s="57">
        <f>G149-H149</f>
        <v>0</v>
      </c>
      <c r="J149" s="99">
        <f t="shared" si="12"/>
        <v>75.00000682143751</v>
      </c>
      <c r="Q149" s="2"/>
    </row>
    <row r="150" spans="1:17" ht="18.75" customHeight="1" hidden="1">
      <c r="A150" s="7">
        <v>45</v>
      </c>
      <c r="B150" s="42" t="s">
        <v>87</v>
      </c>
      <c r="C150" s="11" t="s">
        <v>66</v>
      </c>
      <c r="D150" s="152" t="s">
        <v>67</v>
      </c>
      <c r="E150" s="48"/>
      <c r="F150" s="61"/>
      <c r="G150" s="61"/>
      <c r="H150" s="61"/>
      <c r="I150" s="57">
        <f>G150-H150</f>
        <v>0</v>
      </c>
      <c r="J150" s="97" t="e">
        <f t="shared" si="12"/>
        <v>#DIV/0!</v>
      </c>
      <c r="Q150" s="2"/>
    </row>
    <row r="151" spans="1:17" ht="39" customHeight="1" hidden="1">
      <c r="A151" s="7">
        <v>46</v>
      </c>
      <c r="B151" s="116" t="s">
        <v>164</v>
      </c>
      <c r="C151" s="11" t="s">
        <v>66</v>
      </c>
      <c r="D151" s="152" t="s">
        <v>45</v>
      </c>
      <c r="E151" s="48"/>
      <c r="F151" s="9"/>
      <c r="G151" s="61"/>
      <c r="H151" s="61"/>
      <c r="I151" s="57">
        <f>G151-H151</f>
        <v>0</v>
      </c>
      <c r="J151" s="97" t="e">
        <f t="shared" si="12"/>
        <v>#DIV/0!</v>
      </c>
      <c r="Q151" s="2"/>
    </row>
    <row r="152" spans="1:17" ht="15" customHeight="1">
      <c r="A152" s="7">
        <v>47</v>
      </c>
      <c r="B152" s="37" t="s">
        <v>68</v>
      </c>
      <c r="C152" s="38"/>
      <c r="D152" s="39"/>
      <c r="E152" s="43"/>
      <c r="F152" s="40">
        <f>F72+F135+F148+F149+F150+F151</f>
        <v>219949772</v>
      </c>
      <c r="G152" s="113">
        <f>G72+G135+G148+G149+G150+G151</f>
        <v>192743943.20999998</v>
      </c>
      <c r="H152" s="113">
        <f>H72+H135+H148+H149+H150+H151</f>
        <v>172951907.08999997</v>
      </c>
      <c r="I152" s="113">
        <f>I72+I135+I148+I149+I150+I151</f>
        <v>19792036.119999994</v>
      </c>
      <c r="J152" s="99">
        <f t="shared" si="12"/>
        <v>87.63089020615124</v>
      </c>
      <c r="Q152" s="54"/>
    </row>
    <row r="153" spans="1:17" ht="0.75" customHeight="1">
      <c r="A153" s="7">
        <v>48</v>
      </c>
      <c r="B153" s="18"/>
      <c r="C153" s="37"/>
      <c r="D153" s="39"/>
      <c r="E153" s="43"/>
      <c r="F153" s="40"/>
      <c r="G153" s="113"/>
      <c r="H153" s="113"/>
      <c r="I153" s="113"/>
      <c r="J153" s="27"/>
      <c r="Q153" s="2"/>
    </row>
    <row r="154" spans="1:17" ht="26.25" customHeight="1" hidden="1">
      <c r="A154" s="20"/>
      <c r="B154" s="25" t="s">
        <v>75</v>
      </c>
      <c r="C154" s="11"/>
      <c r="D154" s="5"/>
      <c r="E154" s="48"/>
      <c r="F154" s="6"/>
      <c r="G154" s="61"/>
      <c r="H154" s="61"/>
      <c r="I154" s="61">
        <f>G154-H154</f>
        <v>0</v>
      </c>
      <c r="J154" s="27"/>
      <c r="Q154" s="2"/>
    </row>
    <row r="155" spans="1:17" ht="28.5" customHeight="1" hidden="1">
      <c r="A155" s="20"/>
      <c r="B155" s="19" t="s">
        <v>63</v>
      </c>
      <c r="C155" s="11"/>
      <c r="D155" s="5"/>
      <c r="E155" s="48"/>
      <c r="F155" s="9"/>
      <c r="G155" s="61"/>
      <c r="H155" s="61"/>
      <c r="I155" s="61">
        <f>G155-H155</f>
        <v>0</v>
      </c>
      <c r="J155" s="27"/>
      <c r="Q155" s="2"/>
    </row>
    <row r="156" spans="1:17" ht="24" customHeight="1" hidden="1">
      <c r="A156" s="20"/>
      <c r="B156" s="29" t="s">
        <v>85</v>
      </c>
      <c r="C156" s="11"/>
      <c r="D156" s="5"/>
      <c r="E156" s="48"/>
      <c r="F156" s="9"/>
      <c r="G156" s="61"/>
      <c r="H156" s="61"/>
      <c r="I156" s="61">
        <f>G156-H156</f>
        <v>0</v>
      </c>
      <c r="J156" s="27"/>
      <c r="Q156" s="2"/>
    </row>
    <row r="157" spans="1:17" ht="30" customHeight="1" hidden="1">
      <c r="A157" s="20"/>
      <c r="B157" s="10" t="s">
        <v>88</v>
      </c>
      <c r="C157" s="11"/>
      <c r="D157" s="5"/>
      <c r="E157" s="48"/>
      <c r="F157" s="9"/>
      <c r="G157" s="61"/>
      <c r="H157" s="61"/>
      <c r="I157" s="61">
        <f>G157-H157</f>
        <v>0</v>
      </c>
      <c r="J157" s="27"/>
      <c r="Q157" s="2"/>
    </row>
    <row r="158" spans="1:17" ht="13.5" customHeight="1" hidden="1">
      <c r="A158" s="20"/>
      <c r="B158" s="35" t="s">
        <v>89</v>
      </c>
      <c r="C158" s="11"/>
      <c r="D158" s="5"/>
      <c r="E158" s="48"/>
      <c r="F158" s="9"/>
      <c r="G158" s="61"/>
      <c r="H158" s="61"/>
      <c r="I158" s="61">
        <f>G158-H158</f>
        <v>0</v>
      </c>
      <c r="J158" s="27"/>
      <c r="Q158" s="2"/>
    </row>
    <row r="159" spans="1:20" ht="15" customHeight="1">
      <c r="A159" s="20"/>
      <c r="B159" s="19"/>
      <c r="C159" s="11"/>
      <c r="D159" s="5"/>
      <c r="E159" s="48"/>
      <c r="F159" s="9"/>
      <c r="G159" s="61"/>
      <c r="H159" s="61"/>
      <c r="I159" s="61"/>
      <c r="J159" s="27"/>
      <c r="T159" s="65"/>
    </row>
    <row r="160" spans="1:20" ht="14.25" customHeight="1">
      <c r="A160" s="20"/>
      <c r="B160" s="100" t="s">
        <v>69</v>
      </c>
      <c r="C160" s="101"/>
      <c r="D160" s="102"/>
      <c r="E160" s="103"/>
      <c r="F160" s="104">
        <f>F152+F155+F154+F156+F157+F158+F159</f>
        <v>219949772</v>
      </c>
      <c r="G160" s="104">
        <f>G152+G155+G154+G156+G157+G158+G159</f>
        <v>192743943.20999998</v>
      </c>
      <c r="H160" s="104">
        <f>H152+H155+H154+H156+H157+H158+H159</f>
        <v>172951907.08999997</v>
      </c>
      <c r="I160" s="104">
        <f>I152+I155+I154+I156+I157+I158+I159</f>
        <v>19792036.119999994</v>
      </c>
      <c r="J160" s="105">
        <f>G160/F160*100</f>
        <v>87.63089020615124</v>
      </c>
      <c r="R160" s="2"/>
      <c r="T160" s="64"/>
    </row>
    <row r="161" spans="1:20" ht="16.5" customHeight="1">
      <c r="A161" s="20"/>
      <c r="B161" s="44" t="s">
        <v>70</v>
      </c>
      <c r="C161" s="44"/>
      <c r="D161" s="12"/>
      <c r="E161" s="18"/>
      <c r="F161" s="56"/>
      <c r="G161" s="73"/>
      <c r="H161" s="73"/>
      <c r="I161" s="113">
        <v>22768516.67</v>
      </c>
      <c r="J161" s="27"/>
      <c r="R161" s="2"/>
      <c r="T161" s="64"/>
    </row>
    <row r="162" spans="1:17" ht="13.5" customHeight="1">
      <c r="A162" s="20"/>
      <c r="B162" s="123" t="s">
        <v>71</v>
      </c>
      <c r="C162" s="44"/>
      <c r="D162" s="12"/>
      <c r="E162" s="18"/>
      <c r="F162" s="56"/>
      <c r="G162" s="73"/>
      <c r="H162" s="73"/>
      <c r="I162" s="183">
        <v>987933</v>
      </c>
      <c r="J162" s="176"/>
      <c r="K162" s="55"/>
      <c r="L162" s="55"/>
      <c r="M162" s="55"/>
      <c r="N162" s="55"/>
      <c r="O162" s="55"/>
      <c r="P162" s="55"/>
      <c r="Q162" s="55"/>
    </row>
    <row r="163" spans="1:10" ht="13.5" customHeight="1">
      <c r="A163" s="20"/>
      <c r="B163" s="44" t="s">
        <v>72</v>
      </c>
      <c r="C163" s="44"/>
      <c r="D163" s="12"/>
      <c r="E163" s="18"/>
      <c r="F163" s="56"/>
      <c r="G163" s="73"/>
      <c r="H163" s="73"/>
      <c r="I163" s="61">
        <f>I160-I166</f>
        <v>22462.75999999419</v>
      </c>
      <c r="J163" s="27"/>
    </row>
    <row r="164" spans="1:10" ht="13.5" customHeight="1">
      <c r="A164" s="20"/>
      <c r="B164" s="44" t="s">
        <v>73</v>
      </c>
      <c r="C164" s="44"/>
      <c r="D164" s="12"/>
      <c r="E164" s="18"/>
      <c r="F164" s="56"/>
      <c r="G164" s="73"/>
      <c r="H164" s="73"/>
      <c r="I164" s="61">
        <f>I17+I18+I20+I21+I22+I24+I102+I119+I120+I129+I143</f>
        <v>0</v>
      </c>
      <c r="J164" s="177"/>
    </row>
    <row r="165" spans="1:18" ht="14.25" customHeight="1">
      <c r="A165" s="20"/>
      <c r="B165" s="124" t="s">
        <v>199</v>
      </c>
      <c r="C165" s="3"/>
      <c r="D165" s="13"/>
      <c r="E165" s="43"/>
      <c r="F165" s="56"/>
      <c r="G165" s="73"/>
      <c r="H165" s="73"/>
      <c r="I165" s="183">
        <f>I161-I162</f>
        <v>21780583.67</v>
      </c>
      <c r="J165" s="27"/>
      <c r="R165" s="89"/>
    </row>
    <row r="166" spans="1:18" ht="33.75">
      <c r="A166" s="20"/>
      <c r="B166" s="44" t="s">
        <v>72</v>
      </c>
      <c r="C166" s="27"/>
      <c r="D166" s="14"/>
      <c r="E166" s="50"/>
      <c r="F166" s="59"/>
      <c r="G166" s="108"/>
      <c r="H166" s="179" t="s">
        <v>297</v>
      </c>
      <c r="I166" s="57">
        <f>I4+I58+I64+I73+I78+I89+I90+I91+I92+I96+I98+I114+I136+I145</f>
        <v>19769573.36</v>
      </c>
      <c r="J166" s="27"/>
      <c r="R166" s="109"/>
    </row>
    <row r="167" spans="1:18" ht="14.25">
      <c r="A167" s="20"/>
      <c r="B167" s="44" t="s">
        <v>73</v>
      </c>
      <c r="C167" s="27"/>
      <c r="D167" s="14"/>
      <c r="E167" s="50"/>
      <c r="F167" s="59"/>
      <c r="G167" s="108"/>
      <c r="H167" s="108"/>
      <c r="I167" s="57">
        <f>I4</f>
        <v>83203.20999999996</v>
      </c>
      <c r="J167" s="27"/>
      <c r="R167" s="90"/>
    </row>
    <row r="168" spans="1:17" ht="13.5" customHeight="1">
      <c r="A168" s="20"/>
      <c r="B168" s="122" t="s">
        <v>198</v>
      </c>
      <c r="G168" s="8"/>
      <c r="H168" s="8"/>
      <c r="I168" s="64">
        <v>19829111.62</v>
      </c>
      <c r="J168" s="65"/>
      <c r="K168" s="65"/>
      <c r="L168" s="65"/>
      <c r="M168" s="65"/>
      <c r="N168" s="65"/>
      <c r="O168" s="65"/>
      <c r="P168" s="65"/>
      <c r="Q168" s="65"/>
    </row>
    <row r="169" spans="1:18" ht="13.5" customHeight="1">
      <c r="A169" s="20"/>
      <c r="B169" s="122" t="s">
        <v>197</v>
      </c>
      <c r="C169" s="8"/>
      <c r="D169" s="17"/>
      <c r="G169" s="8"/>
      <c r="H169" s="8"/>
      <c r="I169" s="64">
        <f>I16+I64+I77+I88+I89+I90+19686370.15</f>
        <v>19686844.939999998</v>
      </c>
      <c r="R169" s="2"/>
    </row>
    <row r="170" spans="2:18" ht="14.25">
      <c r="B170" s="122" t="s">
        <v>209</v>
      </c>
      <c r="G170" s="8"/>
      <c r="H170" s="8"/>
      <c r="I170" s="64">
        <f>I16</f>
        <v>474.7899999999936</v>
      </c>
      <c r="R170" s="2"/>
    </row>
    <row r="172" spans="4:18" ht="12.75">
      <c r="D172" s="68"/>
      <c r="E172" s="69"/>
      <c r="F172" s="64"/>
      <c r="G172" s="64"/>
      <c r="H172" s="64"/>
      <c r="I172" s="64"/>
      <c r="R172" s="2"/>
    </row>
    <row r="173" spans="5:18" ht="12.75">
      <c r="E173" s="69"/>
      <c r="F173" s="64"/>
      <c r="G173" s="64"/>
      <c r="H173" s="64"/>
      <c r="I173" s="64"/>
      <c r="R173" s="2"/>
    </row>
    <row r="174" spans="5:10" ht="12.75">
      <c r="E174" s="69"/>
      <c r="F174" s="64"/>
      <c r="G174" s="64"/>
      <c r="H174" s="64"/>
      <c r="I174" s="64"/>
      <c r="J174" s="65"/>
    </row>
    <row r="175" spans="5:18" ht="12.75">
      <c r="E175" s="69"/>
      <c r="F175" s="64"/>
      <c r="G175" s="64"/>
      <c r="H175" s="64"/>
      <c r="I175" s="64"/>
      <c r="Q175" s="119"/>
      <c r="R175" s="2"/>
    </row>
    <row r="176" spans="5:18" ht="12.75">
      <c r="E176" s="69"/>
      <c r="F176" s="64"/>
      <c r="G176" s="64"/>
      <c r="H176" s="64"/>
      <c r="I176" s="64"/>
      <c r="Q176" s="119"/>
      <c r="R176" s="2"/>
    </row>
    <row r="177" spans="5:9" ht="12.75">
      <c r="E177" s="69"/>
      <c r="F177" s="64"/>
      <c r="G177" s="64"/>
      <c r="H177" s="64"/>
      <c r="I177" s="64"/>
    </row>
    <row r="178" spans="6:9" ht="12.75">
      <c r="F178" s="215"/>
      <c r="G178" s="215"/>
      <c r="H178" s="215"/>
      <c r="I178" s="215"/>
    </row>
  </sheetData>
  <sheetProtection/>
  <mergeCells count="15">
    <mergeCell ref="C55:C57"/>
    <mergeCell ref="B62:B64"/>
    <mergeCell ref="C44:C47"/>
    <mergeCell ref="B44:B47"/>
    <mergeCell ref="B55:B57"/>
    <mergeCell ref="B73:B79"/>
    <mergeCell ref="A2:I2"/>
    <mergeCell ref="D45:D47"/>
    <mergeCell ref="A109:A119"/>
    <mergeCell ref="A97:A99"/>
    <mergeCell ref="B97:B100"/>
    <mergeCell ref="B34:B37"/>
    <mergeCell ref="A93:A96"/>
    <mergeCell ref="B93:B96"/>
    <mergeCell ref="B38:B40"/>
  </mergeCells>
  <printOptions/>
  <pageMargins left="0.1968503937007874" right="0" top="0.1968503937007874" bottom="0" header="0.1968503937007874" footer="0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2017-10-03T08:59:56Z</cp:lastPrinted>
  <dcterms:created xsi:type="dcterms:W3CDTF">2014-01-14T04:43:51Z</dcterms:created>
  <dcterms:modified xsi:type="dcterms:W3CDTF">2017-10-18T08:22:11Z</dcterms:modified>
  <cp:category/>
  <cp:version/>
  <cp:contentType/>
  <cp:contentStatus/>
</cp:coreProperties>
</file>