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65446" windowWidth="22995" windowHeight="11055" activeTab="0"/>
  </bookViews>
  <sheets>
    <sheet name="на 01.07.2017    " sheetId="1" r:id="rId1"/>
  </sheets>
  <definedNames>
    <definedName name="_xlnm.Print_Titles" localSheetId="0">'на 01.07.2017    '!$3:$3</definedName>
    <definedName name="_xlnm.Print_Area" localSheetId="0">'на 01.07.2017    '!$A$2:$I$162</definedName>
  </definedNames>
  <calcPr fullCalcOnLoad="1"/>
</workbook>
</file>

<file path=xl/sharedStrings.xml><?xml version="1.0" encoding="utf-8"?>
<sst xmlns="http://schemas.openxmlformats.org/spreadsheetml/2006/main" count="426" uniqueCount="299">
  <si>
    <t xml:space="preserve">          Хранение и комплектование муниципальных архивов документами Архивного фонда Российской Федерации и другими архивными документами, относящимися к государственной собственности области и находящимися на территориях муниципальных образований; госуд</t>
  </si>
  <si>
    <t>000 2022021605 0000 151</t>
  </si>
  <si>
    <t>000 2023508205 0000 151</t>
  </si>
  <si>
    <t>000 2022999905 0000 151</t>
  </si>
  <si>
    <r>
      <t>Субвенции</t>
    </r>
    <r>
      <rPr>
        <sz val="10"/>
        <color indexed="8"/>
        <rFont val="Times New Roman"/>
        <family val="1"/>
      </rPr>
      <t xml:space="preserve"> на реализацию прав на получение общедоступного и бесплатного дошкольного, начального общего, основного общего, среднего общего и дополнительного образования детей в муниципальных общеобразовательных организациях </t>
    </r>
    <r>
      <rPr>
        <sz val="10"/>
        <color indexed="10"/>
        <rFont val="Times New Roman"/>
        <family val="1"/>
      </rPr>
      <t>в части расходов</t>
    </r>
    <r>
      <rPr>
        <sz val="10"/>
        <color indexed="8"/>
        <rFont val="Times New Roman"/>
        <family val="1"/>
      </rPr>
      <t xml:space="preserve"> </t>
    </r>
    <r>
      <rPr>
        <sz val="10"/>
        <color indexed="10"/>
        <rFont val="Times New Roman"/>
        <family val="1"/>
      </rPr>
      <t>на оплату труда работников, за исключением педагогических работников в рамках обеспечения урочной деятельности</t>
    </r>
  </si>
  <si>
    <r>
      <t>Субвенции</t>
    </r>
    <r>
      <rPr>
        <sz val="10"/>
        <color indexed="8"/>
        <rFont val="Times New Roman"/>
        <family val="1"/>
      </rPr>
      <t xml:space="preserve"> на реализацию прав на получение общедоступного и бесплатного дошкольного, начального общего, основного общего, среднего общего и дополнительного образования детей в муниципальных общеобразовательных организациях </t>
    </r>
    <r>
      <rPr>
        <sz val="10"/>
        <color indexed="10"/>
        <rFont val="Times New Roman"/>
        <family val="1"/>
      </rPr>
      <t xml:space="preserve">в части расходов на оплату труда  в рамках обеспечения внеурочной деятельности </t>
    </r>
  </si>
  <si>
    <r>
      <t>Субвенции</t>
    </r>
    <r>
      <rPr>
        <sz val="10"/>
        <color indexed="8"/>
        <rFont val="Times New Roman"/>
        <family val="1"/>
      </rPr>
      <t xml:space="preserve"> на реализацию прав на получение общедоступного и бесплатного дошкольного, начального общего, основного общего, среднего общего и дополнительного образования детей в муниципальных общеобразовательных организациях </t>
    </r>
    <r>
      <rPr>
        <sz val="10"/>
        <color indexed="10"/>
        <rFont val="Times New Roman"/>
        <family val="1"/>
      </rPr>
      <t>в части расходов на выплату вознаграждения за выполнение функций классного руководитля педагогическим работникам муниципальных общеобразовательных организаций</t>
    </r>
  </si>
  <si>
    <t>0610016070</t>
  </si>
  <si>
    <r>
      <t>Субсидия</t>
    </r>
    <r>
      <rPr>
        <sz val="10"/>
        <color indexed="8"/>
        <rFont val="Times New Roman"/>
        <family val="1"/>
      </rPr>
      <t xml:space="preserve"> на выделение земельных участков из земель сельскохозяйственного назначения в счет невостребованных земельных долей и (или) земельных долей, от права собственности на которые граждане отказались (Вихаревское с/п)</t>
    </r>
  </si>
  <si>
    <r>
      <t xml:space="preserve">Субвенция по начислению и выплате компенсации платы, </t>
    </r>
    <r>
      <rPr>
        <sz val="9"/>
        <color indexed="8"/>
        <rFont val="Times New Roman"/>
        <family val="1"/>
      </rPr>
      <t>взимаемой с родителей (законных представителей) за присмотр и уход за детьми в образовательных организациях, реализующих образовательную программу дошкольного образования</t>
    </r>
  </si>
  <si>
    <r>
      <t xml:space="preserve">Субсидии </t>
    </r>
    <r>
      <rPr>
        <sz val="9"/>
        <color indexed="8"/>
        <rFont val="Times New Roman"/>
        <family val="1"/>
      </rPr>
      <t>бюджетам субъектов Российской Федерации и муниципальных образований на модернизацию региональных систем дошкольного образования</t>
    </r>
    <r>
      <rPr>
        <b/>
        <sz val="9"/>
        <color indexed="8"/>
        <rFont val="Times New Roman"/>
        <family val="1"/>
      </rPr>
      <t xml:space="preserve">
</t>
    </r>
  </si>
  <si>
    <t>п/п</t>
  </si>
  <si>
    <t>Вид расхода</t>
  </si>
  <si>
    <t>ГРБС</t>
  </si>
  <si>
    <t>Код дохода</t>
  </si>
  <si>
    <t>ЦС</t>
  </si>
  <si>
    <t>План на год</t>
  </si>
  <si>
    <t>Поступление</t>
  </si>
  <si>
    <t>Кассовый расход</t>
  </si>
  <si>
    <t>Субвенция на составление (изменение и дополнение) списков кандидатов в присяжные заседатели федеральных судов общей юрисдикции в РФ.</t>
  </si>
  <si>
    <t>адм.   Района</t>
  </si>
  <si>
    <t>РАЙФУ</t>
  </si>
  <si>
    <t>00020202999050000151</t>
  </si>
  <si>
    <t>Вихарево</t>
  </si>
  <si>
    <t>Дамаскино</t>
  </si>
  <si>
    <t>Зимник</t>
  </si>
  <si>
    <t>Моторки</t>
  </si>
  <si>
    <t>Паска</t>
  </si>
  <si>
    <t xml:space="preserve">Порек  </t>
  </si>
  <si>
    <t>Селино</t>
  </si>
  <si>
    <t>Чернушка</t>
  </si>
  <si>
    <t>пгт.Кильм.</t>
  </si>
  <si>
    <t>РАЙФУ (п.г.т.)</t>
  </si>
  <si>
    <t>00020202089050000151</t>
  </si>
  <si>
    <t>адм. района</t>
  </si>
  <si>
    <t>00020202051050000151</t>
  </si>
  <si>
    <t>РУО</t>
  </si>
  <si>
    <t>адм.   района</t>
  </si>
  <si>
    <t>адм.    района</t>
  </si>
  <si>
    <t xml:space="preserve">00020202999050000151  </t>
  </si>
  <si>
    <t>адм.района</t>
  </si>
  <si>
    <t>00020204999050000151</t>
  </si>
  <si>
    <t>Повышение квалификации, профессиональная подготовка руководителей и учителей общеобразовательных учреждений</t>
  </si>
  <si>
    <t>МБС</t>
  </si>
  <si>
    <t>00020204025050000151</t>
  </si>
  <si>
    <t xml:space="preserve">00020204041050000151 </t>
  </si>
  <si>
    <t>РЦКиД</t>
  </si>
  <si>
    <t>902</t>
  </si>
  <si>
    <t>Музей</t>
  </si>
  <si>
    <t>936</t>
  </si>
  <si>
    <t>992</t>
  </si>
  <si>
    <t>00020203024050000151</t>
  </si>
  <si>
    <t>ДШИ</t>
  </si>
  <si>
    <t>00020203022050000151</t>
  </si>
  <si>
    <t xml:space="preserve">РУО </t>
  </si>
  <si>
    <t>пгт</t>
  </si>
  <si>
    <t>учреждения</t>
  </si>
  <si>
    <t>РЦКи Д</t>
  </si>
  <si>
    <t>Райфинуправление</t>
  </si>
  <si>
    <t>Администрация района</t>
  </si>
  <si>
    <t>Кильмезская МБС</t>
  </si>
  <si>
    <t>Областная целевая программа "Дом для молодой семьи" на 2012 год</t>
  </si>
  <si>
    <t>00020202008050000151</t>
  </si>
  <si>
    <t>адм</t>
  </si>
  <si>
    <t>райфу</t>
  </si>
  <si>
    <t>00020201003050000151</t>
  </si>
  <si>
    <t xml:space="preserve">ВСЕГО МЕЖБЮДЖЕТНЫЕ ТРАНСФЕРТЫ </t>
  </si>
  <si>
    <t xml:space="preserve">Итого  МЕЖБЮДЖЕТНЫЕ ТРАНСФЕРТЫ </t>
  </si>
  <si>
    <t>Всего остаток  средств на счете (консолидиров.)</t>
  </si>
  <si>
    <t xml:space="preserve">из них средства:  муниципальный район      всего   </t>
  </si>
  <si>
    <t>в т.ч. целевые</t>
  </si>
  <si>
    <t>из них федеральные</t>
  </si>
  <si>
    <r>
      <t>Субвенция</t>
    </r>
    <r>
      <rPr>
        <sz val="9"/>
        <rFont val="Times New Roman"/>
        <family val="1"/>
      </rPr>
      <t xml:space="preserve"> на осуществление первичного воинского учета на территориях, где отсутствуют военные комиссариаты </t>
    </r>
  </si>
  <si>
    <r>
      <t>Субсидии</t>
    </r>
    <r>
      <rPr>
        <sz val="9"/>
        <rFont val="Times New Roman"/>
        <family val="1"/>
      </rPr>
      <t xml:space="preserve"> местным бюджетам из областного бюджета на реализацию подпрограммы "Обеспечение жильем молодых семей" федеральной целевой программы Жилище на 2011-2015 годы</t>
    </r>
  </si>
  <si>
    <r>
      <t>Субсидии</t>
    </r>
    <r>
      <rPr>
        <sz val="10"/>
        <color indexed="8"/>
        <rFont val="Times New Roman"/>
        <family val="1"/>
      </rPr>
      <t xml:space="preserve"> на преподготовку и повышение квалификации лиц, замещающих муниципальные должности, и муниципальных служащих по основным вопросам деятельности органов местного самоуправления</t>
    </r>
  </si>
  <si>
    <r>
      <t>Субвенция</t>
    </r>
    <r>
      <rPr>
        <sz val="10"/>
        <rFont val="Times New Roman"/>
        <family val="1"/>
      </rPr>
      <t xml:space="preserve"> местным бюджетам на реализацию государственного стандарта общего образования </t>
    </r>
    <r>
      <rPr>
        <b/>
        <sz val="10"/>
        <rFont val="Times New Roman"/>
        <family val="1"/>
      </rPr>
      <t>модернизация</t>
    </r>
    <r>
      <rPr>
        <sz val="10"/>
        <rFont val="Times New Roman"/>
        <family val="1"/>
      </rPr>
      <t xml:space="preserve"> региональных систем общего образования (</t>
    </r>
    <r>
      <rPr>
        <b/>
        <sz val="10"/>
        <rFont val="Times New Roman"/>
        <family val="1"/>
      </rPr>
      <t>приобретение спортивного оборудования)</t>
    </r>
  </si>
  <si>
    <r>
      <t>Субвенция</t>
    </r>
    <r>
      <rPr>
        <sz val="10"/>
        <rFont val="Times New Roman"/>
        <family val="1"/>
      </rPr>
      <t xml:space="preserve"> местным бюджетам на реализацию государственного стандарта общего образования </t>
    </r>
    <r>
      <rPr>
        <b/>
        <sz val="10"/>
        <rFont val="Times New Roman"/>
        <family val="1"/>
      </rPr>
      <t>модернизация</t>
    </r>
    <r>
      <rPr>
        <sz val="10"/>
        <rFont val="Times New Roman"/>
        <family val="1"/>
      </rPr>
      <t xml:space="preserve"> региональных систем общего образования </t>
    </r>
    <r>
      <rPr>
        <b/>
        <sz val="10"/>
        <rFont val="Times New Roman"/>
        <family val="1"/>
      </rPr>
      <t>энергосбережение в системе общего образования</t>
    </r>
  </si>
  <si>
    <r>
      <t>Субвенция</t>
    </r>
    <r>
      <rPr>
        <sz val="9"/>
        <rFont val="Times New Roman"/>
        <family val="1"/>
      </rPr>
      <t xml:space="preserve"> на предоставление гражданам субсидий на оплату жилого помещения и коммунальных услуг (субсидии на оплату жилых помещений и коммунальных услуг) </t>
    </r>
  </si>
  <si>
    <r>
      <t>Субвенции</t>
    </r>
    <r>
      <rPr>
        <sz val="10"/>
        <color indexed="8"/>
        <rFont val="Times New Roman"/>
        <family val="1"/>
      </rPr>
      <t xml:space="preserve"> на выполнение отдельных государственных полномочий по начислению и выплате ежемесячного вознаграждения, причитающегося </t>
    </r>
    <r>
      <rPr>
        <b/>
        <sz val="10"/>
        <color indexed="8"/>
        <rFont val="Times New Roman"/>
        <family val="1"/>
      </rPr>
      <t>ПРИЕМНЫМ РОДИТЕЛЯМ</t>
    </r>
  </si>
  <si>
    <r>
      <t>Субвенции</t>
    </r>
    <r>
      <rPr>
        <sz val="10"/>
        <color indexed="8"/>
        <rFont val="Times New Roman"/>
        <family val="1"/>
      </rPr>
      <t xml:space="preserve"> на выполнение государственных полномочий Кировской области по расчету и предоставлению дотаций бюджетам поселений</t>
    </r>
  </si>
  <si>
    <r>
      <t xml:space="preserve">Субвенции </t>
    </r>
    <r>
      <rPr>
        <sz val="10"/>
        <color indexed="8"/>
        <rFont val="Times New Roman"/>
        <family val="1"/>
      </rPr>
      <t>на выполнение отдельных государственных полномочий по осуществлению деятельности</t>
    </r>
    <r>
      <rPr>
        <b/>
        <sz val="10"/>
        <color indexed="8"/>
        <rFont val="Times New Roman"/>
        <family val="1"/>
      </rPr>
      <t xml:space="preserve"> ПО ОПЕКЕ И ПОПЕЧИТЕЛЬСТВУ</t>
    </r>
  </si>
  <si>
    <r>
      <t>Субвенция</t>
    </r>
    <r>
      <rPr>
        <sz val="9"/>
        <rFont val="Times New Roman"/>
        <family val="1"/>
      </rPr>
      <t xml:space="preserve"> на предоставление гражданам субсидий на </t>
    </r>
    <r>
      <rPr>
        <b/>
        <sz val="9"/>
        <rFont val="Times New Roman"/>
        <family val="1"/>
      </rPr>
      <t>оплату жилого помещения и коммунальных услуг (Администрирование расходов)</t>
    </r>
  </si>
  <si>
    <r>
      <t>Субсидия</t>
    </r>
    <r>
      <rPr>
        <sz val="10"/>
        <rFont val="Times New Roman"/>
        <family val="1"/>
      </rPr>
      <t xml:space="preserve"> на выравнивание МР</t>
    </r>
  </si>
  <si>
    <r>
      <t>Субсидия</t>
    </r>
    <r>
      <rPr>
        <sz val="10"/>
        <rFont val="Times New Roman"/>
        <family val="1"/>
      </rPr>
      <t xml:space="preserve"> на реализацию мероприятий областной целевой программы «Развитие транспортной инфраструктуры Кировской области до 2015 года»</t>
    </r>
  </si>
  <si>
    <r>
      <t xml:space="preserve">Дотация </t>
    </r>
    <r>
      <rPr>
        <sz val="10"/>
        <rFont val="Times New Roman"/>
        <family val="1"/>
      </rPr>
      <t>на выравнивание МР</t>
    </r>
  </si>
  <si>
    <r>
      <t>Дотация</t>
    </r>
    <r>
      <rPr>
        <sz val="10"/>
        <rFont val="Times New Roman"/>
        <family val="1"/>
      </rPr>
      <t xml:space="preserve"> на сбалансированность МР</t>
    </r>
  </si>
  <si>
    <r>
      <t xml:space="preserve">Субсидия </t>
    </r>
    <r>
      <rPr>
        <sz val="10"/>
        <color indexed="8"/>
        <rFont val="Times New Roman"/>
        <family val="1"/>
      </rPr>
      <t>на реализацию мероприятий ведомственной целевой программы "Государственная кадастровая оценка земель"</t>
    </r>
  </si>
  <si>
    <r>
      <t xml:space="preserve">Субвенция </t>
    </r>
    <r>
      <rPr>
        <sz val="10"/>
        <rFont val="Times New Roman"/>
        <family val="1"/>
      </rPr>
      <t>на обеспечение жилыми помещениями детей-сирот, сотавшихся безпопечения родителей, а так же детей, находящихся под опекой (попечительством), не имеющих закрепленного жилого помещения</t>
    </r>
  </si>
  <si>
    <r>
      <t>Субвенция</t>
    </r>
    <r>
      <rPr>
        <sz val="10"/>
        <rFont val="Times New Roman"/>
        <family val="1"/>
      </rPr>
      <t xml:space="preserve"> на частичную компенсацию расходов на оплату жилого помещения и </t>
    </r>
    <r>
      <rPr>
        <b/>
        <sz val="10"/>
        <rFont val="Times New Roman"/>
        <family val="1"/>
      </rPr>
      <t>коммунальных услуг</t>
    </r>
    <r>
      <rPr>
        <sz val="10"/>
        <rFont val="Times New Roman"/>
        <family val="1"/>
      </rPr>
      <t xml:space="preserve"> в виде ежемесячной денежной выплаты </t>
    </r>
  </si>
  <si>
    <t>адм.</t>
  </si>
  <si>
    <t xml:space="preserve"> ДП 1105</t>
  </si>
  <si>
    <t xml:space="preserve">Субвенция местным бюджетам из областного бюджета на реализацию прав на получение общедоступного и бесплатного дошкольного образования в муниципальных образовательных организациях </t>
  </si>
  <si>
    <t>доп. 2010</t>
  </si>
  <si>
    <t>0111701 ДП 2009</t>
  </si>
  <si>
    <t>0701515 ДП 3013</t>
  </si>
  <si>
    <r>
      <t xml:space="preserve">Субсидии </t>
    </r>
    <r>
      <rPr>
        <sz val="10"/>
        <rFont val="Times New Roman"/>
        <family val="1"/>
      </rPr>
      <t>из областного бюджета на переподготовку и повышение квалификации лиц, замещающих муниципальные должности, и муниципальных служащих по вопросам закупок  на 2014 год</t>
    </r>
  </si>
  <si>
    <t>1101516 ДП 3014</t>
  </si>
  <si>
    <t>1101514 ДП 3012</t>
  </si>
  <si>
    <r>
      <t>Субсидии</t>
    </r>
    <r>
      <rPr>
        <sz val="9"/>
        <rFont val="Times New Roman"/>
        <family val="1"/>
      </rPr>
      <t xml:space="preserve"> местным бюджетам из </t>
    </r>
    <r>
      <rPr>
        <b/>
        <sz val="9"/>
        <rFont val="Times New Roman"/>
        <family val="1"/>
      </rPr>
      <t>федерального бюджета</t>
    </r>
    <r>
      <rPr>
        <sz val="9"/>
        <rFont val="Times New Roman"/>
        <family val="1"/>
      </rPr>
      <t xml:space="preserve"> на реализацию подпрограммы "Обеспечение жильем молодых семей" федеральной целевой программы Жилище на 2011-2015 годы</t>
    </r>
  </si>
  <si>
    <t xml:space="preserve">06Г5018 </t>
  </si>
  <si>
    <r>
      <t>Субсидии</t>
    </r>
    <r>
      <rPr>
        <sz val="9"/>
        <rFont val="Times New Roman"/>
        <family val="1"/>
      </rPr>
      <t xml:space="preserve"> местным бюджетам из </t>
    </r>
    <r>
      <rPr>
        <b/>
        <sz val="9"/>
        <rFont val="Times New Roman"/>
        <family val="1"/>
      </rPr>
      <t>областного бюджета</t>
    </r>
    <r>
      <rPr>
        <sz val="9"/>
        <rFont val="Times New Roman"/>
        <family val="1"/>
      </rPr>
      <t xml:space="preserve"> на реализацию подпрограммы "Обеспечение жильем молодых семей" федеральной целевой программы Жилище на 2011-2015 годы</t>
    </r>
  </si>
  <si>
    <t>06Г1704</t>
  </si>
  <si>
    <t>00020203999050000151</t>
  </si>
  <si>
    <r>
      <t>Субвенция</t>
    </r>
    <r>
      <rPr>
        <sz val="9"/>
        <rFont val="Times New Roman"/>
        <family val="1"/>
      </rPr>
      <t xml:space="preserve"> местным бюджетам на реализацию государственного стандарта общего образования </t>
    </r>
    <r>
      <rPr>
        <b/>
        <sz val="9"/>
        <rFont val="Times New Roman"/>
        <family val="1"/>
      </rPr>
      <t>модернизация</t>
    </r>
    <r>
      <rPr>
        <sz val="9"/>
        <rFont val="Times New Roman"/>
        <family val="1"/>
      </rPr>
      <t xml:space="preserve"> региональных систем общего образования (</t>
    </r>
    <r>
      <rPr>
        <b/>
        <sz val="9"/>
        <rFont val="Times New Roman"/>
        <family val="1"/>
      </rPr>
      <t>приобретение спортивного инвентаря)</t>
    </r>
  </si>
  <si>
    <t>00020202204050000151</t>
  </si>
  <si>
    <t>0305020 ВР 322 ДК 6661</t>
  </si>
  <si>
    <t>00020202216050000151</t>
  </si>
  <si>
    <t>0115059 ДК 052</t>
  </si>
  <si>
    <r>
      <t xml:space="preserve">Субсидия </t>
    </r>
    <r>
      <rPr>
        <sz val="10"/>
        <rFont val="Times New Roman"/>
        <family val="1"/>
      </rPr>
      <t>на реализацию программ (проектов) в сфере отдыха и оздоровления молодежи</t>
    </r>
  </si>
  <si>
    <t>0301512 ДК 3010</t>
  </si>
  <si>
    <r>
      <t xml:space="preserve">0301510 </t>
    </r>
    <r>
      <rPr>
        <sz val="10"/>
        <rFont val="Times New Roman"/>
        <family val="1"/>
      </rPr>
      <t>ДК3008</t>
    </r>
  </si>
  <si>
    <r>
      <t xml:space="preserve">0305020 </t>
    </r>
    <r>
      <rPr>
        <sz val="10"/>
        <rFont val="Times New Roman"/>
        <family val="1"/>
      </rPr>
      <t>ДК 666</t>
    </r>
  </si>
  <si>
    <t>РЦКД</t>
  </si>
  <si>
    <r>
      <t>Субвенции</t>
    </r>
    <r>
      <rPr>
        <sz val="10"/>
        <rFont val="Times New Roman"/>
        <family val="1"/>
      </rPr>
      <t xml:space="preserve"> на выполнение отдельных  государственных полномочий по созданию и деятельности в муниципальных образованиях </t>
    </r>
    <r>
      <rPr>
        <b/>
        <sz val="10"/>
        <rFont val="Times New Roman"/>
        <family val="1"/>
      </rPr>
      <t>административной(ых) комиссии(ий)</t>
    </r>
  </si>
  <si>
    <t>в приемной семье</t>
  </si>
  <si>
    <t>в семье опекуна</t>
  </si>
  <si>
    <t>остатки</t>
  </si>
  <si>
    <t>Адм.</t>
  </si>
  <si>
    <t>райфо</t>
  </si>
  <si>
    <t>Дума</t>
  </si>
  <si>
    <t>Большепорекское с/п</t>
  </si>
  <si>
    <t>Бурашевское с/п</t>
  </si>
  <si>
    <t>Вихаревское с/п</t>
  </si>
  <si>
    <t>Дамаскинское с/п</t>
  </si>
  <si>
    <t>Зимнякское с/п</t>
  </si>
  <si>
    <t xml:space="preserve"> М-Кильмезское с/п</t>
  </si>
  <si>
    <t>Моторское с/п</t>
  </si>
  <si>
    <t>Паскинское с/п</t>
  </si>
  <si>
    <t>Р-Ватажское с/п</t>
  </si>
  <si>
    <t>Селинское с/п</t>
  </si>
  <si>
    <t>Чернушское с/п</t>
  </si>
  <si>
    <t xml:space="preserve">0301611 </t>
  </si>
  <si>
    <t>0301615</t>
  </si>
  <si>
    <r>
      <t>Субвенция</t>
    </r>
    <r>
      <rPr>
        <sz val="10"/>
        <color indexed="8"/>
        <rFont val="Times New Roman"/>
        <family val="1"/>
      </rPr>
      <t xml:space="preserve"> на присвоение спортивных разрядов и квалификационных категорий спортивных судей, предусмотренных частью 2 статьи 7.1 Закона Кировской области "О физической культуре и спорте в Кировской области"</t>
    </r>
  </si>
  <si>
    <r>
      <t>Субсидия</t>
    </r>
    <r>
      <rPr>
        <sz val="10"/>
        <color indexed="8"/>
        <rFont val="Times New Roman"/>
        <family val="1"/>
      </rPr>
      <t xml:space="preserve"> на строительство объекта "Культурно-творческий молодежный центр" в пгт Кильмезь Кильмезского муниципального района Кировской области</t>
    </r>
  </si>
  <si>
    <t>20022</t>
  </si>
  <si>
    <t>20023</t>
  </si>
  <si>
    <r>
      <t>Субсидия</t>
    </r>
    <r>
      <rPr>
        <sz val="10"/>
        <color indexed="8"/>
        <rFont val="Times New Roman"/>
        <family val="1"/>
      </rPr>
      <t xml:space="preserve"> на преподготовку и повышение квалификации специалистов по финансовой работе органов местного самоуправления</t>
    </r>
  </si>
  <si>
    <t xml:space="preserve">адм.района </t>
  </si>
  <si>
    <r>
      <t>Субвенции</t>
    </r>
    <r>
      <rPr>
        <sz val="10"/>
        <color indexed="8"/>
        <rFont val="Times New Roman"/>
        <family val="1"/>
      </rPr>
      <t xml:space="preserve"> на реализацию прав на получение общедоступного и бесплатного дошкольного, начального общего, основного общего, среднего общего и дополнительного образования детей в муниципальных общеобразовательных организациях </t>
    </r>
    <r>
      <rPr>
        <sz val="10"/>
        <color indexed="10"/>
        <rFont val="Times New Roman"/>
        <family val="1"/>
      </rPr>
      <t>в части расходов</t>
    </r>
    <r>
      <rPr>
        <sz val="10"/>
        <color indexed="8"/>
        <rFont val="Times New Roman"/>
        <family val="1"/>
      </rPr>
      <t xml:space="preserve"> </t>
    </r>
    <r>
      <rPr>
        <sz val="10"/>
        <color indexed="10"/>
        <rFont val="Times New Roman"/>
        <family val="1"/>
      </rPr>
      <t>на оплату труда педагогических работников в рамках обеспечения урочной деятельности</t>
    </r>
  </si>
  <si>
    <r>
      <t>Субвенции</t>
    </r>
    <r>
      <rPr>
        <sz val="10"/>
        <color indexed="8"/>
        <rFont val="Times New Roman"/>
        <family val="1"/>
      </rPr>
      <t xml:space="preserve"> на реализацию прав на получение общедоступного и бесплатного дошкольного, начального общего, основного общего, среднего общего и дополнительного образования детей в муниципальных общеобразовательных организациях </t>
    </r>
    <r>
      <rPr>
        <sz val="10"/>
        <color indexed="10"/>
        <rFont val="Times New Roman"/>
        <family val="1"/>
      </rPr>
      <t>в части учебных расходов в рамках обеспечения урочной деятельности</t>
    </r>
  </si>
  <si>
    <r>
      <t xml:space="preserve">Иные межбюджетные трансферты </t>
    </r>
    <r>
      <rPr>
        <sz val="10"/>
        <rFont val="Times New Roman"/>
        <family val="1"/>
      </rPr>
      <t>на ремонт памятников и обелисков воинам-землякам, погибшим в годы Великой Отечественной войны 1941-1945 годов</t>
    </r>
  </si>
  <si>
    <t>0201712</t>
  </si>
  <si>
    <r>
      <t xml:space="preserve">Субвенция </t>
    </r>
    <r>
      <rPr>
        <sz val="10"/>
        <rFont val="Times New Roman"/>
        <family val="1"/>
      </rPr>
      <t xml:space="preserve">на содержание ребенка в семье опекуна и приемной семье за счет средств областного бюджета </t>
    </r>
  </si>
  <si>
    <t>итого субвенции:</t>
  </si>
  <si>
    <t>итого субсидии:</t>
  </si>
  <si>
    <t>итого иные мбт:</t>
  </si>
  <si>
    <r>
      <t xml:space="preserve">                      </t>
    </r>
    <r>
      <rPr>
        <b/>
        <sz val="10"/>
        <color indexed="8"/>
        <rFont val="Times New Roman"/>
        <family val="1"/>
      </rPr>
      <t xml:space="preserve">Субвенция </t>
    </r>
    <r>
      <rPr>
        <sz val="10"/>
        <color indexed="8"/>
        <rFont val="Times New Roman"/>
        <family val="1"/>
      </rPr>
      <t>на содержание органов местного самоуправления, осуществляющих и отдельные государственные полномочия области по поддержке сельскохозяйственного производства</t>
    </r>
  </si>
  <si>
    <t>0611602 ДП 1544</t>
  </si>
  <si>
    <r>
      <t xml:space="preserve">                     </t>
    </r>
    <r>
      <rPr>
        <b/>
        <sz val="10"/>
        <color indexed="8"/>
        <rFont val="Times New Roman"/>
        <family val="1"/>
      </rPr>
      <t xml:space="preserve"> Субвенции</t>
    </r>
    <r>
      <rPr>
        <sz val="10"/>
        <color indexed="8"/>
        <rFont val="Times New Roman"/>
        <family val="1"/>
      </rPr>
      <t xml:space="preserve"> на возмещение части затрат на уплату процентов по кредитам, полученным в российских кредитных организациях, и займам, полученным в сельскохозяйственных потребительских кооперативах</t>
    </r>
  </si>
  <si>
    <r>
      <t xml:space="preserve">                    </t>
    </r>
    <r>
      <rPr>
        <b/>
        <sz val="10"/>
        <color indexed="8"/>
        <rFont val="Times New Roman"/>
        <family val="1"/>
      </rPr>
      <t xml:space="preserve">  Субвенции </t>
    </r>
    <r>
      <rPr>
        <sz val="10"/>
        <color indexed="8"/>
        <rFont val="Times New Roman"/>
        <family val="1"/>
      </rPr>
      <t>на производство и реализацию сельскохозяйственной продукции собственного производства и продуктов ее переработки</t>
    </r>
  </si>
  <si>
    <t>0901508 ДП3007</t>
  </si>
  <si>
    <r>
      <t xml:space="preserve">                     </t>
    </r>
    <r>
      <rPr>
        <b/>
        <sz val="10"/>
        <color indexed="8"/>
        <rFont val="Times New Roman"/>
        <family val="1"/>
      </rPr>
      <t xml:space="preserve"> Субсидия </t>
    </r>
    <r>
      <rPr>
        <sz val="10"/>
        <color indexed="8"/>
        <rFont val="Times New Roman"/>
        <family val="1"/>
      </rPr>
      <t>на осуществление дорожной деятельности в отношении автомобильных дорог общего пользования местного значения</t>
    </r>
  </si>
  <si>
    <t>0201522 ДП3030</t>
  </si>
  <si>
    <r>
      <t xml:space="preserve">                   </t>
    </r>
    <r>
      <rPr>
        <b/>
        <sz val="10"/>
        <color indexed="8"/>
        <rFont val="Times New Roman"/>
        <family val="1"/>
      </rPr>
      <t xml:space="preserve">   Субсидия </t>
    </r>
    <r>
      <rPr>
        <sz val="10"/>
        <color indexed="8"/>
        <rFont val="Times New Roman"/>
        <family val="1"/>
      </rPr>
      <t>на предоставление социальных выплат молодым семьям на приобретение жилого помещения, в том числе экономкласса, или строительство индивидуального жилого дома, в том числе экономкласса</t>
    </r>
  </si>
  <si>
    <t>райфо(город.пос.)</t>
  </si>
  <si>
    <r>
      <t xml:space="preserve">                      </t>
    </r>
    <r>
      <rPr>
        <b/>
        <sz val="10"/>
        <color indexed="8"/>
        <rFont val="Times New Roman"/>
        <family val="1"/>
      </rPr>
      <t>Субсидии</t>
    </r>
    <r>
      <rPr>
        <sz val="10"/>
        <color indexed="8"/>
        <rFont val="Times New Roman"/>
        <family val="1"/>
      </rPr>
      <t xml:space="preserve"> бюджетам субъектов Российской Федерации и муниципальных образований на мероприятия подпрограммы "Обеспечение жильем молодых семей" в рамках федеральной целевой программы "Жилище" на 2011 - 2015 годы государственной программы</t>
    </r>
  </si>
  <si>
    <r>
      <t xml:space="preserve">                     </t>
    </r>
    <r>
      <rPr>
        <b/>
        <sz val="10"/>
        <color indexed="8"/>
        <rFont val="Times New Roman"/>
        <family val="1"/>
      </rPr>
      <t xml:space="preserve"> Субсидия</t>
    </r>
    <r>
      <rPr>
        <sz val="10"/>
        <color indexed="8"/>
        <rFont val="Times New Roman"/>
        <family val="1"/>
      </rPr>
      <t xml:space="preserve"> на проектирование, строительство, реконструкцию автомобильных дорог общего пользования (за исключением автомобильных дорог федерального значения) с твердым покрытием до сельских населенных пунктов, не имеющих круглогодичной </t>
    </r>
  </si>
  <si>
    <t>Районная Дума</t>
  </si>
  <si>
    <t>% факт.финанс. от план. ассигн.</t>
  </si>
  <si>
    <r>
      <t xml:space="preserve">Субсидии местным бюджетам из областного бюджета на реализацию подпрограммы "Обеспечение жильем молодых семей" </t>
    </r>
    <r>
      <rPr>
        <b/>
        <sz val="11"/>
        <color indexed="8"/>
        <rFont val="Times New Roman"/>
        <family val="1"/>
      </rPr>
      <t>федеральной</t>
    </r>
    <r>
      <rPr>
        <sz val="10"/>
        <color indexed="8"/>
        <rFont val="Times New Roman"/>
        <family val="1"/>
      </rPr>
      <t xml:space="preserve"> целевой программы Жилище на 2011-2015 годы по остаткам 2014 года</t>
    </r>
  </si>
  <si>
    <t>0301510 ВР322 ДК 30081</t>
  </si>
  <si>
    <t>Предоставление социальных выплат молодым семьям на приобретение жилого помещения, в том числе эконом-класса, или строительство индивидуального жилого дома, в том числе эконом-класса по остаткам 2014 года (областной бюджет)</t>
  </si>
  <si>
    <t>Реализация государственной программы Кировской области "Развитие строительства и архитектуры"  (на Вихаревское с/п)</t>
  </si>
  <si>
    <t>0701503 ДК 3002</t>
  </si>
  <si>
    <t>00020202077050000151</t>
  </si>
  <si>
    <r>
      <t>Иные МБТ местным бюджетам,</t>
    </r>
    <r>
      <rPr>
        <sz val="10"/>
        <color indexed="8"/>
        <rFont val="Times New Roman"/>
        <family val="1"/>
      </rPr>
      <t xml:space="preserve"> направленные на стимулирование органов местного самоуправления по увеличению поступлений доходов в областной и местные бюджеты:</t>
    </r>
  </si>
  <si>
    <t>райфо (г/п)</t>
  </si>
  <si>
    <t>0110016130</t>
  </si>
  <si>
    <t>0110017010 ДП 2004</t>
  </si>
  <si>
    <t>0110017010ДП2005</t>
  </si>
  <si>
    <t>0110017010ДК2006</t>
  </si>
  <si>
    <t>0110017010 ДП 2007</t>
  </si>
  <si>
    <t>0110017010  ДП 2008</t>
  </si>
  <si>
    <t>0120016080 ДП 2002</t>
  </si>
  <si>
    <t>0120016080 ДП 2003</t>
  </si>
  <si>
    <t>01Б0016140</t>
  </si>
  <si>
    <t>0200016140</t>
  </si>
  <si>
    <t>01Б0016040</t>
  </si>
  <si>
    <t xml:space="preserve">0200016120 </t>
  </si>
  <si>
    <t>1020016050</t>
  </si>
  <si>
    <t>1100016050</t>
  </si>
  <si>
    <t>1100016060</t>
  </si>
  <si>
    <t>0700016030</t>
  </si>
  <si>
    <t>020001403А</t>
  </si>
  <si>
    <t>011001403А</t>
  </si>
  <si>
    <t>070001403А</t>
  </si>
  <si>
    <t>130001403А</t>
  </si>
  <si>
    <t>0110017140</t>
  </si>
  <si>
    <t>доп. 2009</t>
  </si>
  <si>
    <t>доп.2011</t>
  </si>
  <si>
    <t>1100016010</t>
  </si>
  <si>
    <t>Осуществление полномочий Российской Федерации по проведению Всероссийской сельскохозяйственной переписи в 2016 году</t>
  </si>
  <si>
    <t>0610016160</t>
  </si>
  <si>
    <t>0610016020 ДП 1511</t>
  </si>
  <si>
    <t xml:space="preserve">0610015110 </t>
  </si>
  <si>
    <t xml:space="preserve">01Б0015060 </t>
  </si>
  <si>
    <t>06Г0053910 ДК376</t>
  </si>
  <si>
    <r>
      <t>Субвенции</t>
    </r>
    <r>
      <rPr>
        <sz val="10"/>
        <color indexed="8"/>
        <rFont val="Times New Roman"/>
        <family val="1"/>
      </rPr>
      <t xml:space="preserve"> на реализацию прав на получение общедоступного и бесплатного дошкольного, начального общего, основного общего, среднего общего и дополнительного образования детей в муниципальных общеобразовательных организациях </t>
    </r>
    <r>
      <rPr>
        <sz val="10"/>
        <color indexed="10"/>
        <rFont val="Times New Roman"/>
        <family val="1"/>
      </rPr>
      <t>в части расходов</t>
    </r>
    <r>
      <rPr>
        <sz val="10"/>
        <color indexed="8"/>
        <rFont val="Times New Roman"/>
        <family val="1"/>
      </rPr>
      <t xml:space="preserve"> </t>
    </r>
    <r>
      <rPr>
        <sz val="10"/>
        <color indexed="10"/>
        <rFont val="Times New Roman"/>
        <family val="1"/>
      </rPr>
      <t>на осуществление</t>
    </r>
  </si>
  <si>
    <t xml:space="preserve">                                  в т.ч. целевые</t>
  </si>
  <si>
    <t xml:space="preserve">                                  в т.ч. городское поселение всего:</t>
  </si>
  <si>
    <t xml:space="preserve">                                   сельские и городское поселения всего:</t>
  </si>
  <si>
    <t>00020203121050000151</t>
  </si>
  <si>
    <t>Расходы по администрированию</t>
  </si>
  <si>
    <t>00020202088050002151</t>
  </si>
  <si>
    <r>
      <t>Субвенции</t>
    </r>
    <r>
      <rPr>
        <sz val="10"/>
        <rFont val="Times New Roman"/>
        <family val="1"/>
      </rPr>
      <t xml:space="preserve"> на выполнение отдельных государственных полномочий по возмещению расходов, связанных с предоставлением руководителям, педагогическим работникам и иным специалистам муниципальных образовательных учреждений (за исключением совместителей), работающ</t>
    </r>
  </si>
  <si>
    <r>
      <t>Субвенция</t>
    </r>
    <r>
      <rPr>
        <sz val="10"/>
        <color indexed="8"/>
        <rFont val="Times New Roman"/>
        <family val="1"/>
      </rPr>
      <t xml:space="preserve"> на организацию проведения мероприятий по предупреждению и ликвидации болезней животных и их лечению в части организации и проведения отлова, учета, содержания и использования безнадзорных домашних животных на территории муниципальных районов и г</t>
    </r>
  </si>
  <si>
    <t>Субвенции местным бюджетам из областного бюджета на осуществление отдельных государственных полномочий по защите населения от болезней, общих для человека и животных, в части организации и содержания скотомогильников (биотермических ям), ликвидации закрыт</t>
  </si>
  <si>
    <t xml:space="preserve"> Субсидия местным бюджетам из областного бюджета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ЖКХ по заявке 2016 года</t>
  </si>
  <si>
    <t>Субсидия местным бюджетам из областного бюджета на обеспечение мероприятий по переселению граждан из аварийного жилищного фонда за счет средств бюджетов по заявке 2016 года</t>
  </si>
  <si>
    <t xml:space="preserve">0120016094 </t>
  </si>
  <si>
    <t xml:space="preserve">                                  в т.ч. федеральные</t>
  </si>
  <si>
    <r>
      <t xml:space="preserve">               </t>
    </r>
    <r>
      <rPr>
        <b/>
        <sz val="10"/>
        <color indexed="8"/>
        <rFont val="Times New Roman"/>
        <family val="1"/>
      </rPr>
      <t>Субвенция</t>
    </r>
    <r>
      <rPr>
        <sz val="10"/>
        <color indexed="8"/>
        <rFont val="Times New Roman"/>
        <family val="1"/>
      </rPr>
      <t xml:space="preserve"> на создание в муниципальных районах, городских округах комиссий по делам несовершеннолетних и защите их прав и организации деятельности в сфере профилактики безнадзорности и правонарушений несовершеннолетних, включая административную юрисдикцию</t>
    </r>
  </si>
  <si>
    <t xml:space="preserve">0900015080 </t>
  </si>
  <si>
    <t>Возмещение части процентной ставки по инвестиционным кредитам (займам) на строительство и реконструкцию объектов для молочного скотоводства                                                                                                            ф/б</t>
  </si>
  <si>
    <t>00020203112050000151</t>
  </si>
  <si>
    <t>Возмещение части процентной ставки по инвестиционным кредитам на строительство и реконструкцию объектов мясного скотоводства            ф/б</t>
  </si>
  <si>
    <t>пгт Кильмезь</t>
  </si>
  <si>
    <t>0700017170 ДК3000</t>
  </si>
  <si>
    <t>0700017050 ВР 540</t>
  </si>
  <si>
    <t>0610050520 ДК 044</t>
  </si>
  <si>
    <t>0610054440 ДК 856</t>
  </si>
  <si>
    <t>ц/с 01Б001403А</t>
  </si>
  <si>
    <t>ц/с 110001403А</t>
  </si>
  <si>
    <t>06100R4440</t>
  </si>
  <si>
    <t xml:space="preserve">06100R0520 </t>
  </si>
  <si>
    <t>Субвенции на возмещение части процентной ставки по инвестиционным кредитам (займам) на строительство и реконструкцию объектов для молочного скотоводства</t>
  </si>
  <si>
    <t>Субвенции на возмещение части процентной ставки по инвестиционным кредитам на строительство и реконструкцию объектов мясного скотоводства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</si>
  <si>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 и государственных библиотек городов Москвы и Санкт-Петербурга</t>
  </si>
  <si>
    <t>Иные межбюджетные трансферты, передаваемые бюджетам муниципальных районов, на подключение общедоступных библиотек Российской Федерации к сети "Интернет" и развитие системы библиотечного дела с учетом задачи расширения информационных технологий и оцифровки</t>
  </si>
  <si>
    <t>0200051440 ДК090</t>
  </si>
  <si>
    <t>0200051460 ДК088</t>
  </si>
  <si>
    <t xml:space="preserve">Субсидия на софинансирование инвестиционных программ и проектов развития общественной инфраструктуры муниципальных образований в Кировской области  </t>
  </si>
  <si>
    <t xml:space="preserve">0700017170 </t>
  </si>
  <si>
    <t>Гранты на реализацию проекта "Народный бюджет"(средства 2016 года)</t>
  </si>
  <si>
    <t>Объемы межбюджетных трансфертов  на 2017 год</t>
  </si>
  <si>
    <t>Кильмезское г/п</t>
  </si>
  <si>
    <t>ДК2012</t>
  </si>
  <si>
    <t>ДК2013</t>
  </si>
  <si>
    <t>налог на имущество</t>
  </si>
  <si>
    <t>доплата до МРОТ по ставкам госстандарта</t>
  </si>
  <si>
    <t>000 2023511805 0000 151</t>
  </si>
  <si>
    <t>000 2023002405 0000 151</t>
  </si>
  <si>
    <t>000 2023002905 0000 151</t>
  </si>
  <si>
    <t>000 2023999905 0000 151</t>
  </si>
  <si>
    <t>000 2023002705 0000 151</t>
  </si>
  <si>
    <t>000 2022999905 0000151</t>
  </si>
  <si>
    <t>000 2021500105 0000 151</t>
  </si>
  <si>
    <t>0700051180 ДП 17-365</t>
  </si>
  <si>
    <t xml:space="preserve">          Оказание содействия достижению целевых показателей реализации региональных программ развития агропромышленного  комплекса</t>
  </si>
  <si>
    <t>06100R5434</t>
  </si>
  <si>
    <t xml:space="preserve">          Возмещение части процентной ставки по инвестиционным кредитам (займам) в агропромышленном комплексе</t>
  </si>
  <si>
    <t>06100R5445</t>
  </si>
  <si>
    <t xml:space="preserve">Оплата стоимости питания детей в оздоровительных лагерях, организованных образовательными организациями, осуществляющими организацию отдыха и оздоровления обучающихся в каникулярное время  с дневным пребыванием </t>
  </si>
  <si>
    <t>000 2023554405 0000 151</t>
  </si>
  <si>
    <t>000 2023554305 0000 151</t>
  </si>
  <si>
    <t xml:space="preserve">02000R5580 ВР 244 КОСГУ 225 ДК </t>
  </si>
  <si>
    <r>
      <t>Субсидии</t>
    </r>
    <r>
      <rPr>
        <sz val="10"/>
        <rFont val="Times New Roman"/>
        <family val="1"/>
      </rPr>
      <t xml:space="preserve"> бюджетам муниципальных районов  на обеспечение развития и укрепления материально- технической базы муниципальных домов культуры, поддержку творческой деятельности муниципальных театров в городах численностью до 300 тысяч жителей  </t>
    </r>
    <r>
      <rPr>
        <b/>
        <sz val="10"/>
        <rFont val="Times New Roman"/>
        <family val="1"/>
      </rPr>
      <t xml:space="preserve">  обл.</t>
    </r>
  </si>
  <si>
    <r>
      <t>Субсидии</t>
    </r>
    <r>
      <rPr>
        <sz val="10"/>
        <rFont val="Times New Roman"/>
        <family val="1"/>
      </rPr>
      <t xml:space="preserve"> бюджетам муниципальных районов  на обеспечение развития и укрепления материально- технической базы муниципальных домов культуры, поддержку творческой деятельности муниципальных театров в городах численностью до 300 тысяч жителей    </t>
    </r>
    <r>
      <rPr>
        <b/>
        <sz val="10"/>
        <rFont val="Times New Roman"/>
        <family val="1"/>
      </rPr>
      <t>ф/б</t>
    </r>
  </si>
  <si>
    <t xml:space="preserve"> 000 2022555805 0000 151</t>
  </si>
  <si>
    <t>000 2022555805 0000 151</t>
  </si>
  <si>
    <t>06100R5440 ВР  811 КОСГУ 242 ДК 1528</t>
  </si>
  <si>
    <t>06100R5440 ВР  811 КОСГУ 242 ДК 1530</t>
  </si>
  <si>
    <t>06100R5430 ВР 811 КОСГУ 242 ДК 17-А12</t>
  </si>
  <si>
    <t>06100R5430 ВР 811 КОСГУ 242 ДК 1522</t>
  </si>
  <si>
    <t>06100R5440 ВР  811 КОСГУ 242 ДК 17-А35</t>
  </si>
  <si>
    <r>
      <t xml:space="preserve">Субвенции бюджетам муниципальных районов на возмещение части процентной ставки по инвестиционным кредитам (займам) в агропромышленном комплексе </t>
    </r>
    <r>
      <rPr>
        <b/>
        <sz val="9"/>
        <rFont val="Times New Roman"/>
        <family val="1"/>
      </rPr>
      <t>ф/б</t>
    </r>
  </si>
  <si>
    <t>01200N0820</t>
  </si>
  <si>
    <t>1100016020</t>
  </si>
  <si>
    <t xml:space="preserve">                Возмещение части процентной ставки по долгосрочным, среднесрочным и краткосрочным кредитам, взятым малыми формами хозяйствования</t>
  </si>
  <si>
    <t xml:space="preserve">                Возмещение части процентной ставки по инвестиционным кредитам (займам) на развитие растениеводства</t>
  </si>
  <si>
    <t xml:space="preserve">                Возмещение части процентной ставки по инвестиционным кредитам (займам) на развитие животноводства</t>
  </si>
  <si>
    <t xml:space="preserve">                Возмещение части процентной ставки по инвестиционным кредитам (займам) на строительство и реконструкцию объектов для молочного скотоводства</t>
  </si>
  <si>
    <t xml:space="preserve">Субвенции бюджетам муниципальных районов на содействие достижению целевых показателей реализации региональных программ развития агропромышленного комплекса                                                                                                    </t>
  </si>
  <si>
    <t>02000R5580 ВР 244 КОСГУ 225 ДК 17-998-00001</t>
  </si>
  <si>
    <t>0200015170</t>
  </si>
  <si>
    <t>адм.р-на</t>
  </si>
  <si>
    <t>кап.рем.клуба д.Азиково</t>
  </si>
  <si>
    <t>в т.ч.переселение-27827616,96</t>
  </si>
  <si>
    <t xml:space="preserve">0900095020 ВР522 ДК </t>
  </si>
  <si>
    <t xml:space="preserve">0900096020 ВР522    ДК   </t>
  </si>
  <si>
    <t xml:space="preserve">НР 15170 </t>
  </si>
  <si>
    <t>Остаток на 01.07.2017 от фактического финансирования</t>
  </si>
  <si>
    <t>1500051200 ДК 17-370</t>
  </si>
  <si>
    <t>00020235120050000151</t>
  </si>
  <si>
    <r>
      <t xml:space="preserve">Межбюджетные трансферты местным бюджетам , направленные на активизацию работы органов местного самоуправления городских и сельских поселений, городских округов области </t>
    </r>
    <r>
      <rPr>
        <b/>
        <sz val="9"/>
        <rFont val="Times New Roman"/>
        <family val="1"/>
      </rPr>
      <t>по введению самообложения граждан</t>
    </r>
    <r>
      <rPr>
        <sz val="9"/>
        <rFont val="Times New Roman"/>
        <family val="1"/>
      </rPr>
      <t xml:space="preserve"> по итогам 2016 года (Бураши 54900; Дамаскино 55950; Зимник 63000; Моторки 124500; Порек 94950; Паска 57150; Селино 38925)</t>
    </r>
  </si>
  <si>
    <t>Обеспечение прав детей-сирот и детей, оставшихся без попечения родителей, лиц из числа детей-сирот и детей, оставшихся без попечения родителей, на жилое помещение в соответствии с Законом Кировской области "О социальной поддержке детей-сирот и детей, оставшихся без попечения родителей, лиц из числа детей-сирот и детей, оставшихся без попечения родителей, детей, попавших в сложную жизненную ситуацию"</t>
  </si>
  <si>
    <t>000 20229999050000151</t>
  </si>
  <si>
    <t>0110015480 ДК</t>
  </si>
  <si>
    <r>
      <t>Субсидия</t>
    </r>
    <r>
      <rPr>
        <sz val="10"/>
        <color indexed="8"/>
        <rFont val="Times New Roman"/>
        <family val="1"/>
      </rPr>
      <t xml:space="preserve"> на реализацию мер, направленных на выполнение предписаний надзорных органов и приведение зданий в соответствие с требованиями, предъявленными к безопасности в процессе эксплуатации, в муниципальных общеобразовательных организациях</t>
    </r>
  </si>
  <si>
    <t>00020249999050000151</t>
  </si>
  <si>
    <r>
      <t xml:space="preserve">Субсидия </t>
    </r>
    <r>
      <rPr>
        <sz val="10"/>
        <color indexed="8"/>
        <rFont val="Times New Roman"/>
        <family val="1"/>
      </rPr>
      <t>местным бюджетам из областного бюджета на софинансирование расходных обязательств на предоставление социальных выплат молодым семьям на приобретение (строительство) жилья на 2017 год</t>
    </r>
  </si>
  <si>
    <t>03000R0200</t>
  </si>
  <si>
    <t>00020220051050000151</t>
  </si>
  <si>
    <r>
      <t>Субвенции бюджетам муниципальных районов на возмещение части процентной ставки по инвестиционным кредитам (займам) в агропромышленном комплексе</t>
    </r>
    <r>
      <rPr>
        <b/>
        <sz val="10"/>
        <rFont val="Times New Roman"/>
        <family val="1"/>
      </rPr>
      <t xml:space="preserve"> ф/б</t>
    </r>
  </si>
  <si>
    <t>1020096020  ДК 3000</t>
  </si>
  <si>
    <t>1020095020 ДК 3000</t>
  </si>
  <si>
    <r>
      <t xml:space="preserve"> Субсидия местным бюджетам из областного бюджета на обеспечение мероприятий по переселению граждан из аварийного жилищного фонда (финансовая поддержка реформирования ЖКХ за счет средств областного бюджета) </t>
    </r>
    <r>
      <rPr>
        <b/>
        <sz val="9"/>
        <rFont val="Times New Roman"/>
        <family val="1"/>
      </rPr>
      <t>расходы за счет остатков 2016 года</t>
    </r>
  </si>
  <si>
    <r>
      <t xml:space="preserve"> Субсидия местным бюджетам из областного бюджета на обеспечение мероприятий по переселению граждан из аварийного жилищного фонда (финансовая поддержка реформирования ЖКХ за счет средств  Фонда содействия реформированию ЖКХ) </t>
    </r>
    <r>
      <rPr>
        <b/>
        <sz val="9"/>
        <rFont val="Times New Roman"/>
        <family val="1"/>
      </rPr>
      <t>расходы за счет остатков 2016 года</t>
    </r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</si>
</sst>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  <numFmt numFmtId="170" formatCode="#,##0.00&quot;р.&quot;"/>
    <numFmt numFmtId="171" formatCode="#,##0.00_р_."/>
    <numFmt numFmtId="172" formatCode="000000"/>
    <numFmt numFmtId="173" formatCode="[$-FC19]d\ mmmm\ yyyy\ &quot;г.&quot;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  <numFmt numFmtId="176" formatCode="_(* #,##0.00_);_(* \(#,##0.00\);_(* &quot;-&quot;??_);_(@_)"/>
    <numFmt numFmtId="177" formatCode="_(* #,##0_);_(* \(#,##0\);_(* &quot;-&quot;_);_(@_)"/>
  </numFmts>
  <fonts count="6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9"/>
      <color indexed="8"/>
      <name val="Times New Roman"/>
      <family val="1"/>
    </font>
    <font>
      <sz val="10"/>
      <color indexed="10"/>
      <name val="Arial Cyr"/>
      <family val="0"/>
    </font>
    <font>
      <b/>
      <sz val="11"/>
      <color indexed="10"/>
      <name val="Times New Roman"/>
      <family val="1"/>
    </font>
    <font>
      <b/>
      <sz val="11"/>
      <name val="Times New Roman"/>
      <family val="1"/>
    </font>
    <font>
      <sz val="9"/>
      <name val="Arial Cyr"/>
      <family val="0"/>
    </font>
    <font>
      <sz val="9"/>
      <color indexed="10"/>
      <name val="Arial Cyr"/>
      <family val="0"/>
    </font>
    <font>
      <b/>
      <sz val="10"/>
      <color indexed="10"/>
      <name val="Times New Roman"/>
      <family val="1"/>
    </font>
    <font>
      <b/>
      <sz val="10"/>
      <name val="Arial Cyr"/>
      <family val="0"/>
    </font>
    <font>
      <b/>
      <sz val="10"/>
      <color indexed="10"/>
      <name val="Arial Cyr"/>
      <family val="0"/>
    </font>
    <font>
      <b/>
      <sz val="10.5"/>
      <name val="Times New Roman"/>
      <family val="1"/>
    </font>
    <font>
      <sz val="9"/>
      <color indexed="10"/>
      <name val="Times New Roman"/>
      <family val="1"/>
    </font>
    <font>
      <sz val="10"/>
      <name val="Arial"/>
      <family val="0"/>
    </font>
    <font>
      <b/>
      <sz val="11"/>
      <color indexed="8"/>
      <name val="Times New Roman"/>
      <family val="1"/>
    </font>
    <font>
      <sz val="8"/>
      <name val="Arial Cyr"/>
      <family val="0"/>
    </font>
    <font>
      <sz val="10"/>
      <color indexed="10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8"/>
      <name val="Times New Roman"/>
      <family val="1"/>
    </font>
    <font>
      <b/>
      <i/>
      <sz val="11"/>
      <name val="Times New Roman"/>
      <family val="1"/>
    </font>
    <font>
      <b/>
      <sz val="9"/>
      <color indexed="10"/>
      <name val="Times New Roman"/>
      <family val="1"/>
    </font>
    <font>
      <sz val="11"/>
      <name val="Arial Cyr"/>
      <family val="0"/>
    </font>
    <font>
      <sz val="8"/>
      <color indexed="10"/>
      <name val="Arial Cyr"/>
      <family val="0"/>
    </font>
    <font>
      <sz val="11"/>
      <color indexed="10"/>
      <name val="Times New Roman"/>
      <family val="1"/>
    </font>
    <font>
      <u val="single"/>
      <sz val="9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sz val="11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color indexed="8"/>
      <name val="Arial Cyr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b/>
      <sz val="10"/>
      <color indexed="8"/>
      <name val="Arial Cyr"/>
      <family val="0"/>
    </font>
    <font>
      <sz val="8"/>
      <color indexed="10"/>
      <name val="Times New Roman"/>
      <family val="1"/>
    </font>
    <font>
      <i/>
      <sz val="9"/>
      <name val="Times New Roman"/>
      <family val="1"/>
    </font>
    <font>
      <sz val="12"/>
      <name val="Times New Roman"/>
      <family val="1"/>
    </font>
  </fonts>
  <fills count="2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44"/>
      </top>
      <bottom style="double">
        <color indexed="44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>
        <color indexed="8"/>
      </top>
      <bottom style="thin"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2" borderId="0" applyNumberFormat="0" applyBorder="0" applyAlignment="0" applyProtection="0"/>
    <xf numFmtId="0" fontId="36" fillId="4" borderId="0" applyNumberFormat="0" applyBorder="0" applyAlignment="0" applyProtection="0"/>
    <xf numFmtId="0" fontId="36" fillId="3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3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6" borderId="0" applyNumberFormat="0" applyBorder="0" applyAlignment="0" applyProtection="0"/>
    <xf numFmtId="0" fontId="37" fillId="5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7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5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6" borderId="0" applyNumberFormat="0" applyBorder="0" applyAlignment="0" applyProtection="0"/>
    <xf numFmtId="0" fontId="38" fillId="13" borderId="0" applyNumberFormat="0" applyBorder="0" applyAlignment="0" applyProtection="0"/>
    <xf numFmtId="0" fontId="39" fillId="0" borderId="0">
      <alignment/>
      <protection/>
    </xf>
    <xf numFmtId="0" fontId="40" fillId="14" borderId="1" applyNumberFormat="0" applyAlignment="0" applyProtection="0"/>
    <xf numFmtId="0" fontId="41" fillId="15" borderId="2" applyNumberFormat="0" applyAlignment="0" applyProtection="0"/>
    <xf numFmtId="0" fontId="39" fillId="0" borderId="0">
      <alignment/>
      <protection/>
    </xf>
    <xf numFmtId="0" fontId="42" fillId="0" borderId="0" applyNumberFormat="0" applyFill="0" applyBorder="0" applyAlignment="0" applyProtection="0"/>
    <xf numFmtId="0" fontId="43" fillId="16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7" fillId="6" borderId="1" applyNumberFormat="0" applyAlignment="0" applyProtection="0"/>
    <xf numFmtId="0" fontId="48" fillId="0" borderId="5" applyNumberFormat="0" applyFill="0" applyAlignment="0" applyProtection="0"/>
    <xf numFmtId="0" fontId="49" fillId="10" borderId="0" applyNumberFormat="0" applyBorder="0" applyAlignment="0" applyProtection="0"/>
    <xf numFmtId="0" fontId="39" fillId="3" borderId="6" applyNumberFormat="0" applyFont="0" applyAlignment="0" applyProtection="0"/>
    <xf numFmtId="0" fontId="50" fillId="14" borderId="7" applyNumberFormat="0" applyAlignment="0" applyProtection="0"/>
    <xf numFmtId="0" fontId="51" fillId="0" borderId="0">
      <alignment/>
      <protection/>
    </xf>
    <xf numFmtId="0" fontId="51" fillId="0" borderId="0">
      <alignment/>
      <protection/>
    </xf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39" fillId="0" borderId="0">
      <alignment/>
      <protection/>
    </xf>
    <xf numFmtId="0" fontId="54" fillId="0" borderId="0" applyNumberFormat="0" applyFill="0" applyBorder="0" applyAlignment="0" applyProtection="0"/>
    <xf numFmtId="0" fontId="51" fillId="17" borderId="0">
      <alignment/>
      <protection/>
    </xf>
    <xf numFmtId="0" fontId="51" fillId="0" borderId="0">
      <alignment wrapText="1"/>
      <protection/>
    </xf>
    <xf numFmtId="0" fontId="51" fillId="0" borderId="0">
      <alignment/>
      <protection/>
    </xf>
    <xf numFmtId="0" fontId="55" fillId="0" borderId="0">
      <alignment horizontal="center" wrapText="1"/>
      <protection/>
    </xf>
    <xf numFmtId="0" fontId="55" fillId="0" borderId="0">
      <alignment horizontal="center"/>
      <protection/>
    </xf>
    <xf numFmtId="0" fontId="51" fillId="0" borderId="0">
      <alignment horizontal="right"/>
      <protection/>
    </xf>
    <xf numFmtId="0" fontId="51" fillId="17" borderId="9">
      <alignment/>
      <protection/>
    </xf>
    <xf numFmtId="0" fontId="51" fillId="0" borderId="10">
      <alignment horizontal="center" vertical="center" wrapText="1"/>
      <protection/>
    </xf>
    <xf numFmtId="0" fontId="51" fillId="17" borderId="11">
      <alignment/>
      <protection/>
    </xf>
    <xf numFmtId="49" fontId="51" fillId="0" borderId="10">
      <alignment horizontal="left" vertical="top" wrapText="1" indent="2"/>
      <protection/>
    </xf>
    <xf numFmtId="49" fontId="51" fillId="0" borderId="10">
      <alignment horizontal="center" vertical="top" shrinkToFit="1"/>
      <protection/>
    </xf>
    <xf numFmtId="4" fontId="51" fillId="0" borderId="10">
      <alignment horizontal="right" vertical="top" shrinkToFit="1"/>
      <protection/>
    </xf>
    <xf numFmtId="10" fontId="51" fillId="0" borderId="10">
      <alignment horizontal="right" vertical="top" shrinkToFit="1"/>
      <protection/>
    </xf>
    <xf numFmtId="0" fontId="51" fillId="17" borderId="11">
      <alignment shrinkToFit="1"/>
      <protection/>
    </xf>
    <xf numFmtId="0" fontId="56" fillId="0" borderId="10">
      <alignment horizontal="left"/>
      <protection/>
    </xf>
    <xf numFmtId="4" fontId="56" fillId="3" borderId="10">
      <alignment horizontal="right" vertical="top" shrinkToFit="1"/>
      <protection/>
    </xf>
    <xf numFmtId="10" fontId="56" fillId="3" borderId="10">
      <alignment horizontal="right" vertical="top" shrinkToFit="1"/>
      <protection/>
    </xf>
    <xf numFmtId="0" fontId="51" fillId="17" borderId="12">
      <alignment/>
      <protection/>
    </xf>
    <xf numFmtId="0" fontId="51" fillId="0" borderId="0">
      <alignment horizontal="left" wrapText="1"/>
      <protection/>
    </xf>
    <xf numFmtId="0" fontId="56" fillId="0" borderId="10">
      <alignment vertical="top" wrapText="1"/>
      <protection/>
    </xf>
    <xf numFmtId="4" fontId="56" fillId="8" borderId="10">
      <alignment horizontal="right" vertical="top" shrinkToFit="1"/>
      <protection/>
    </xf>
    <xf numFmtId="10" fontId="56" fillId="8" borderId="10">
      <alignment horizontal="right" vertical="top" shrinkToFit="1"/>
      <protection/>
    </xf>
    <xf numFmtId="0" fontId="51" fillId="17" borderId="11">
      <alignment horizontal="center"/>
      <protection/>
    </xf>
    <xf numFmtId="0" fontId="51" fillId="17" borderId="11">
      <alignment horizontal="left"/>
      <protection/>
    </xf>
    <xf numFmtId="0" fontId="51" fillId="17" borderId="12">
      <alignment horizontal="center"/>
      <protection/>
    </xf>
    <xf numFmtId="0" fontId="51" fillId="17" borderId="12">
      <alignment horizontal="left"/>
      <protection/>
    </xf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18" borderId="0">
      <alignment/>
      <protection/>
    </xf>
    <xf numFmtId="0" fontId="22" fillId="18" borderId="0">
      <alignment/>
      <protection/>
    </xf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0">
    <xf numFmtId="0" fontId="0" fillId="0" borderId="0" xfId="0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0" fontId="4" fillId="0" borderId="13" xfId="0" applyFont="1" applyBorder="1" applyAlignment="1">
      <alignment wrapText="1"/>
    </xf>
    <xf numFmtId="49" fontId="4" fillId="0" borderId="13" xfId="0" applyNumberFormat="1" applyFont="1" applyFill="1" applyBorder="1" applyAlignment="1">
      <alignment horizontal="left" wrapText="1"/>
    </xf>
    <xf numFmtId="49" fontId="5" fillId="0" borderId="13" xfId="0" applyNumberFormat="1" applyFont="1" applyBorder="1" applyAlignment="1">
      <alignment horizontal="center" wrapText="1"/>
    </xf>
    <xf numFmtId="4" fontId="5" fillId="0" borderId="13" xfId="0" applyNumberFormat="1" applyFont="1" applyBorder="1" applyAlignment="1" applyProtection="1">
      <alignment/>
      <protection locked="0"/>
    </xf>
    <xf numFmtId="0" fontId="4" fillId="0" borderId="13" xfId="0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4" fontId="5" fillId="0" borderId="13" xfId="0" applyNumberFormat="1" applyFont="1" applyBorder="1" applyAlignment="1">
      <alignment wrapText="1"/>
    </xf>
    <xf numFmtId="11" fontId="9" fillId="0" borderId="13" xfId="0" applyNumberFormat="1" applyFont="1" applyBorder="1" applyAlignment="1">
      <alignment vertical="top" wrapText="1"/>
    </xf>
    <xf numFmtId="0" fontId="4" fillId="0" borderId="13" xfId="0" applyFont="1" applyBorder="1" applyAlignment="1">
      <alignment horizontal="center" wrapText="1"/>
    </xf>
    <xf numFmtId="49" fontId="6" fillId="0" borderId="13" xfId="0" applyNumberFormat="1" applyFont="1" applyBorder="1" applyAlignment="1">
      <alignment wrapText="1"/>
    </xf>
    <xf numFmtId="49" fontId="5" fillId="0" borderId="13" xfId="0" applyNumberFormat="1" applyFont="1" applyBorder="1" applyAlignment="1">
      <alignment wrapText="1"/>
    </xf>
    <xf numFmtId="49" fontId="15" fillId="0" borderId="13" xfId="0" applyNumberFormat="1" applyFont="1" applyBorder="1" applyAlignment="1">
      <alignment/>
    </xf>
    <xf numFmtId="0" fontId="4" fillId="0" borderId="0" xfId="0" applyFont="1" applyAlignment="1">
      <alignment horizontal="center" vertical="center"/>
    </xf>
    <xf numFmtId="49" fontId="15" fillId="0" borderId="0" xfId="0" applyNumberFormat="1" applyFont="1" applyAlignment="1">
      <alignment/>
    </xf>
    <xf numFmtId="49" fontId="16" fillId="0" borderId="0" xfId="0" applyNumberFormat="1" applyFont="1" applyAlignment="1">
      <alignment/>
    </xf>
    <xf numFmtId="0" fontId="13" fillId="0" borderId="13" xfId="0" applyFont="1" applyBorder="1" applyAlignment="1">
      <alignment horizontal="center" wrapText="1"/>
    </xf>
    <xf numFmtId="11" fontId="8" fillId="0" borderId="13" xfId="0" applyNumberFormat="1" applyFont="1" applyBorder="1" applyAlignment="1">
      <alignment vertical="top" wrapText="1"/>
    </xf>
    <xf numFmtId="0" fontId="4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6" fillId="18" borderId="13" xfId="0" applyFont="1" applyFill="1" applyBorder="1" applyAlignment="1">
      <alignment horizontal="left" vertical="top" wrapText="1"/>
    </xf>
    <xf numFmtId="0" fontId="8" fillId="0" borderId="13" xfId="0" applyFont="1" applyBorder="1" applyAlignment="1">
      <alignment vertical="center" wrapText="1"/>
    </xf>
    <xf numFmtId="0" fontId="0" fillId="0" borderId="13" xfId="0" applyFont="1" applyBorder="1" applyAlignment="1">
      <alignment/>
    </xf>
    <xf numFmtId="0" fontId="9" fillId="0" borderId="13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  <xf numFmtId="0" fontId="10" fillId="18" borderId="13" xfId="0" applyFont="1" applyFill="1" applyBorder="1" applyAlignment="1">
      <alignment horizontal="left" vertical="top" wrapText="1"/>
    </xf>
    <xf numFmtId="0" fontId="8" fillId="0" borderId="13" xfId="0" applyFont="1" applyBorder="1" applyAlignment="1">
      <alignment horizontal="left" vertical="center" wrapText="1"/>
    </xf>
    <xf numFmtId="0" fontId="6" fillId="0" borderId="13" xfId="0" applyFont="1" applyBorder="1" applyAlignment="1">
      <alignment wrapText="1"/>
    </xf>
    <xf numFmtId="0" fontId="6" fillId="0" borderId="13" xfId="0" applyFont="1" applyBorder="1" applyAlignment="1">
      <alignment horizontal="center" wrapText="1"/>
    </xf>
    <xf numFmtId="0" fontId="9" fillId="0" borderId="13" xfId="0" applyFont="1" applyFill="1" applyBorder="1" applyAlignment="1" applyProtection="1">
      <alignment wrapText="1"/>
      <protection locked="0"/>
    </xf>
    <xf numFmtId="0" fontId="10" fillId="0" borderId="13" xfId="0" applyFont="1" applyBorder="1" applyAlignment="1">
      <alignment horizontal="left" wrapText="1"/>
    </xf>
    <xf numFmtId="0" fontId="10" fillId="0" borderId="13" xfId="0" applyFont="1" applyBorder="1" applyAlignment="1">
      <alignment horizontal="right" wrapText="1"/>
    </xf>
    <xf numFmtId="0" fontId="10" fillId="0" borderId="13" xfId="0" applyFont="1" applyBorder="1" applyAlignment="1">
      <alignment wrapText="1"/>
    </xf>
    <xf numFmtId="0" fontId="10" fillId="0" borderId="13" xfId="0" applyFont="1" applyBorder="1" applyAlignment="1">
      <alignment horizontal="center" wrapText="1"/>
    </xf>
    <xf numFmtId="49" fontId="6" fillId="0" borderId="13" xfId="0" applyNumberFormat="1" applyFont="1" applyBorder="1" applyAlignment="1">
      <alignment horizontal="center" wrapText="1"/>
    </xf>
    <xf numFmtId="4" fontId="6" fillId="0" borderId="13" xfId="0" applyNumberFormat="1" applyFont="1" applyBorder="1" applyAlignment="1">
      <alignment wrapText="1"/>
    </xf>
    <xf numFmtId="0" fontId="4" fillId="0" borderId="13" xfId="0" applyFont="1" applyFill="1" applyBorder="1" applyAlignment="1">
      <alignment horizontal="center" wrapText="1"/>
    </xf>
    <xf numFmtId="0" fontId="10" fillId="14" borderId="13" xfId="0" applyFont="1" applyFill="1" applyBorder="1" applyAlignment="1">
      <alignment horizontal="left" vertical="center" wrapText="1"/>
    </xf>
    <xf numFmtId="0" fontId="17" fillId="0" borderId="13" xfId="0" applyFont="1" applyBorder="1" applyAlignment="1">
      <alignment horizontal="center" wrapText="1"/>
    </xf>
    <xf numFmtId="0" fontId="14" fillId="0" borderId="13" xfId="0" applyFont="1" applyBorder="1" applyAlignment="1">
      <alignment wrapText="1"/>
    </xf>
    <xf numFmtId="0" fontId="6" fillId="0" borderId="13" xfId="0" applyFont="1" applyBorder="1" applyAlignment="1">
      <alignment horizontal="center" vertical="center" wrapText="1"/>
    </xf>
    <xf numFmtId="49" fontId="10" fillId="0" borderId="13" xfId="0" applyNumberFormat="1" applyFont="1" applyBorder="1" applyAlignment="1">
      <alignment horizontal="center" wrapText="1"/>
    </xf>
    <xf numFmtId="49" fontId="10" fillId="0" borderId="14" xfId="0" applyNumberFormat="1" applyFont="1" applyBorder="1" applyAlignment="1">
      <alignment horizontal="center" wrapText="1"/>
    </xf>
    <xf numFmtId="49" fontId="17" fillId="0" borderId="13" xfId="0" applyNumberFormat="1" applyFont="1" applyBorder="1" applyAlignment="1">
      <alignment horizontal="center" wrapText="1"/>
    </xf>
    <xf numFmtId="0" fontId="18" fillId="0" borderId="13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0" fillId="0" borderId="13" xfId="0" applyFont="1" applyBorder="1" applyAlignment="1">
      <alignment horizontal="center"/>
    </xf>
    <xf numFmtId="49" fontId="10" fillId="0" borderId="13" xfId="0" applyNumberFormat="1" applyFont="1" applyBorder="1" applyAlignment="1">
      <alignment horizontal="center"/>
    </xf>
    <xf numFmtId="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4" fontId="21" fillId="0" borderId="13" xfId="0" applyNumberFormat="1" applyFont="1" applyBorder="1" applyAlignment="1">
      <alignment wrapText="1"/>
    </xf>
    <xf numFmtId="4" fontId="5" fillId="14" borderId="13" xfId="0" applyNumberFormat="1" applyFont="1" applyFill="1" applyBorder="1" applyAlignment="1">
      <alignment/>
    </xf>
    <xf numFmtId="49" fontId="10" fillId="14" borderId="13" xfId="0" applyNumberFormat="1" applyFont="1" applyFill="1" applyBorder="1" applyAlignment="1">
      <alignment horizontal="center" wrapText="1"/>
    </xf>
    <xf numFmtId="0" fontId="16" fillId="0" borderId="13" xfId="0" applyFont="1" applyBorder="1" applyAlignment="1">
      <alignment/>
    </xf>
    <xf numFmtId="0" fontId="9" fillId="0" borderId="13" xfId="0" applyFont="1" applyBorder="1" applyAlignment="1">
      <alignment vertical="center" wrapText="1"/>
    </xf>
    <xf numFmtId="4" fontId="5" fillId="14" borderId="13" xfId="0" applyNumberFormat="1" applyFont="1" applyFill="1" applyBorder="1" applyAlignment="1">
      <alignment wrapText="1"/>
    </xf>
    <xf numFmtId="4" fontId="5" fillId="14" borderId="13" xfId="0" applyNumberFormat="1" applyFont="1" applyFill="1" applyBorder="1" applyAlignment="1">
      <alignment horizontal="right"/>
    </xf>
    <xf numFmtId="4" fontId="6" fillId="14" borderId="13" xfId="0" applyNumberFormat="1" applyFont="1" applyFill="1" applyBorder="1" applyAlignment="1">
      <alignment/>
    </xf>
    <xf numFmtId="4" fontId="24" fillId="0" borderId="0" xfId="0" applyNumberFormat="1" applyFont="1" applyAlignment="1">
      <alignment/>
    </xf>
    <xf numFmtId="0" fontId="24" fillId="0" borderId="0" xfId="0" applyFont="1" applyAlignment="1">
      <alignment/>
    </xf>
    <xf numFmtId="0" fontId="24" fillId="0" borderId="0" xfId="0" applyFont="1" applyAlignment="1">
      <alignment wrapText="1"/>
    </xf>
    <xf numFmtId="4" fontId="5" fillId="14" borderId="13" xfId="0" applyNumberFormat="1" applyFont="1" applyFill="1" applyBorder="1" applyAlignment="1">
      <alignment horizontal="right" shrinkToFit="1"/>
    </xf>
    <xf numFmtId="49" fontId="15" fillId="0" borderId="0" xfId="0" applyNumberFormat="1" applyFont="1" applyAlignment="1">
      <alignment horizontal="right"/>
    </xf>
    <xf numFmtId="0" fontId="18" fillId="0" borderId="0" xfId="0" applyFont="1" applyAlignment="1">
      <alignment horizontal="center"/>
    </xf>
    <xf numFmtId="4" fontId="24" fillId="19" borderId="0" xfId="0" applyNumberFormat="1" applyFont="1" applyFill="1" applyAlignment="1">
      <alignment/>
    </xf>
    <xf numFmtId="11" fontId="9" fillId="0" borderId="15" xfId="0" applyNumberFormat="1" applyFont="1" applyBorder="1" applyAlignment="1">
      <alignment vertical="top" wrapText="1"/>
    </xf>
    <xf numFmtId="0" fontId="0" fillId="0" borderId="13" xfId="0" applyBorder="1" applyAlignment="1">
      <alignment/>
    </xf>
    <xf numFmtId="4" fontId="21" fillId="14" borderId="13" xfId="0" applyNumberFormat="1" applyFont="1" applyFill="1" applyBorder="1" applyAlignment="1">
      <alignment/>
    </xf>
    <xf numFmtId="4" fontId="21" fillId="14" borderId="13" xfId="0" applyNumberFormat="1" applyFont="1" applyFill="1" applyBorder="1" applyAlignment="1">
      <alignment wrapText="1"/>
    </xf>
    <xf numFmtId="4" fontId="5" fillId="14" borderId="13" xfId="0" applyNumberFormat="1" applyFont="1" applyFill="1" applyBorder="1" applyAlignment="1">
      <alignment horizontal="center"/>
    </xf>
    <xf numFmtId="2" fontId="10" fillId="0" borderId="13" xfId="0" applyNumberFormat="1" applyFont="1" applyFill="1" applyBorder="1" applyAlignment="1">
      <alignment horizontal="left" wrapText="1"/>
    </xf>
    <xf numFmtId="0" fontId="9" fillId="0" borderId="13" xfId="0" applyNumberFormat="1" applyFont="1" applyFill="1" applyBorder="1" applyAlignment="1" applyProtection="1">
      <alignment wrapText="1"/>
      <protection locked="0"/>
    </xf>
    <xf numFmtId="0" fontId="4" fillId="16" borderId="13" xfId="0" applyFont="1" applyFill="1" applyBorder="1" applyAlignment="1">
      <alignment horizontal="center" vertical="center"/>
    </xf>
    <xf numFmtId="0" fontId="26" fillId="16" borderId="13" xfId="0" applyFont="1" applyFill="1" applyBorder="1" applyAlignment="1">
      <alignment horizontal="center" vertical="center" wrapText="1"/>
    </xf>
    <xf numFmtId="49" fontId="10" fillId="16" borderId="14" xfId="0" applyNumberFormat="1" applyFont="1" applyFill="1" applyBorder="1" applyAlignment="1">
      <alignment horizontal="center" wrapText="1"/>
    </xf>
    <xf numFmtId="0" fontId="27" fillId="16" borderId="13" xfId="0" applyFont="1" applyFill="1" applyBorder="1" applyAlignment="1">
      <alignment horizontal="center" vertical="center" wrapText="1"/>
    </xf>
    <xf numFmtId="0" fontId="26" fillId="16" borderId="13" xfId="0" applyFont="1" applyFill="1" applyBorder="1" applyAlignment="1">
      <alignment horizontal="center" wrapText="1"/>
    </xf>
    <xf numFmtId="49" fontId="26" fillId="16" borderId="13" xfId="0" applyNumberFormat="1" applyFont="1" applyFill="1" applyBorder="1" applyAlignment="1">
      <alignment horizontal="center" wrapText="1"/>
    </xf>
    <xf numFmtId="49" fontId="10" fillId="16" borderId="13" xfId="0" applyNumberFormat="1" applyFont="1" applyFill="1" applyBorder="1" applyAlignment="1">
      <alignment horizontal="center" wrapText="1"/>
    </xf>
    <xf numFmtId="0" fontId="10" fillId="16" borderId="13" xfId="0" applyFont="1" applyFill="1" applyBorder="1" applyAlignment="1">
      <alignment horizontal="center" wrapText="1"/>
    </xf>
    <xf numFmtId="0" fontId="8" fillId="18" borderId="10" xfId="0" applyFont="1" applyFill="1" applyBorder="1" applyAlignment="1">
      <alignment vertical="top" wrapText="1"/>
    </xf>
    <xf numFmtId="0" fontId="10" fillId="0" borderId="13" xfId="0" applyNumberFormat="1" applyFont="1" applyFill="1" applyBorder="1" applyAlignment="1" applyProtection="1">
      <alignment horizontal="left" vertical="top" wrapText="1"/>
      <protection locked="0"/>
    </xf>
    <xf numFmtId="0" fontId="28" fillId="18" borderId="10" xfId="90" applyFont="1" applyFill="1" applyBorder="1" applyAlignment="1">
      <alignment vertical="top" wrapText="1"/>
      <protection/>
    </xf>
    <xf numFmtId="0" fontId="28" fillId="18" borderId="10" xfId="91" applyFont="1" applyFill="1" applyBorder="1" applyAlignment="1">
      <alignment vertical="top" wrapText="1"/>
      <protection/>
    </xf>
    <xf numFmtId="4" fontId="0" fillId="0" borderId="0" xfId="0" applyNumberFormat="1" applyFont="1" applyAlignment="1">
      <alignment/>
    </xf>
    <xf numFmtId="0" fontId="0" fillId="0" borderId="0" xfId="0" applyAlignment="1">
      <alignment/>
    </xf>
    <xf numFmtId="0" fontId="0" fillId="0" borderId="13" xfId="0" applyFont="1" applyBorder="1" applyAlignment="1">
      <alignment horizontal="center"/>
    </xf>
    <xf numFmtId="0" fontId="5" fillId="0" borderId="13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4" fillId="0" borderId="13" xfId="0" applyFont="1" applyBorder="1" applyAlignment="1">
      <alignment horizontal="center" vertical="center" wrapText="1"/>
    </xf>
    <xf numFmtId="0" fontId="6" fillId="16" borderId="13" xfId="0" applyFont="1" applyFill="1" applyBorder="1" applyAlignment="1">
      <alignment horizontal="center" wrapText="1"/>
    </xf>
    <xf numFmtId="0" fontId="5" fillId="0" borderId="13" xfId="0" applyFont="1" applyFill="1" applyBorder="1" applyAlignment="1">
      <alignment horizontal="center" vertical="center" wrapText="1"/>
    </xf>
    <xf numFmtId="4" fontId="7" fillId="0" borderId="13" xfId="0" applyNumberFormat="1" applyFont="1" applyFill="1" applyBorder="1" applyAlignment="1">
      <alignment/>
    </xf>
    <xf numFmtId="0" fontId="24" fillId="0" borderId="0" xfId="0" applyFont="1" applyAlignment="1">
      <alignment horizontal="center" wrapText="1"/>
    </xf>
    <xf numFmtId="4" fontId="29" fillId="0" borderId="13" xfId="0" applyNumberFormat="1" applyFont="1" applyFill="1" applyBorder="1" applyAlignment="1">
      <alignment/>
    </xf>
    <xf numFmtId="0" fontId="10" fillId="16" borderId="13" xfId="0" applyFont="1" applyFill="1" applyBorder="1" applyAlignment="1">
      <alignment horizontal="right" wrapText="1"/>
    </xf>
    <xf numFmtId="0" fontId="10" fillId="16" borderId="13" xfId="0" applyFont="1" applyFill="1" applyBorder="1" applyAlignment="1">
      <alignment wrapText="1"/>
    </xf>
    <xf numFmtId="49" fontId="6" fillId="16" borderId="13" xfId="0" applyNumberFormat="1" applyFont="1" applyFill="1" applyBorder="1" applyAlignment="1">
      <alignment wrapText="1"/>
    </xf>
    <xf numFmtId="0" fontId="17" fillId="16" borderId="13" xfId="0" applyFont="1" applyFill="1" applyBorder="1" applyAlignment="1">
      <alignment horizontal="center" wrapText="1"/>
    </xf>
    <xf numFmtId="4" fontId="6" fillId="16" borderId="13" xfId="0" applyNumberFormat="1" applyFont="1" applyFill="1" applyBorder="1" applyAlignment="1">
      <alignment wrapText="1"/>
    </xf>
    <xf numFmtId="4" fontId="29" fillId="16" borderId="13" xfId="0" applyNumberFormat="1" applyFont="1" applyFill="1" applyBorder="1" applyAlignment="1">
      <alignment/>
    </xf>
    <xf numFmtId="2" fontId="7" fillId="14" borderId="13" xfId="0" applyNumberFormat="1" applyFont="1" applyFill="1" applyBorder="1" applyAlignment="1">
      <alignment/>
    </xf>
    <xf numFmtId="4" fontId="21" fillId="14" borderId="13" xfId="0" applyNumberFormat="1" applyFont="1" applyFill="1" applyBorder="1" applyAlignment="1">
      <alignment horizontal="right" shrinkToFit="1"/>
    </xf>
    <xf numFmtId="0" fontId="16" fillId="14" borderId="13" xfId="0" applyFont="1" applyFill="1" applyBorder="1" applyAlignment="1">
      <alignment/>
    </xf>
    <xf numFmtId="4" fontId="0" fillId="0" borderId="0" xfId="0" applyNumberFormat="1" applyAlignment="1">
      <alignment/>
    </xf>
    <xf numFmtId="4" fontId="20" fillId="14" borderId="13" xfId="0" applyNumberFormat="1" applyFont="1" applyFill="1" applyBorder="1" applyAlignment="1">
      <alignment horizontal="right"/>
    </xf>
    <xf numFmtId="4" fontId="6" fillId="14" borderId="13" xfId="0" applyNumberFormat="1" applyFont="1" applyFill="1" applyBorder="1" applyAlignment="1">
      <alignment horizontal="right"/>
    </xf>
    <xf numFmtId="4" fontId="4" fillId="14" borderId="13" xfId="0" applyNumberFormat="1" applyFont="1" applyFill="1" applyBorder="1" applyAlignment="1">
      <alignment horizontal="right"/>
    </xf>
    <xf numFmtId="4" fontId="5" fillId="14" borderId="13" xfId="0" applyNumberFormat="1" applyFont="1" applyFill="1" applyBorder="1" applyAlignment="1" applyProtection="1">
      <alignment/>
      <protection locked="0"/>
    </xf>
    <xf numFmtId="4" fontId="6" fillId="14" borderId="13" xfId="0" applyNumberFormat="1" applyFont="1" applyFill="1" applyBorder="1" applyAlignment="1">
      <alignment wrapText="1"/>
    </xf>
    <xf numFmtId="4" fontId="10" fillId="14" borderId="13" xfId="0" applyNumberFormat="1" applyFont="1" applyFill="1" applyBorder="1" applyAlignment="1">
      <alignment/>
    </xf>
    <xf numFmtId="4" fontId="6" fillId="14" borderId="13" xfId="0" applyNumberFormat="1" applyFont="1" applyFill="1" applyBorder="1" applyAlignment="1" applyProtection="1">
      <alignment/>
      <protection locked="0"/>
    </xf>
    <xf numFmtId="0" fontId="9" fillId="0" borderId="13" xfId="0" applyNumberFormat="1" applyFont="1" applyFill="1" applyBorder="1" applyAlignment="1" applyProtection="1">
      <alignment horizontal="left" wrapText="1"/>
      <protection locked="0"/>
    </xf>
    <xf numFmtId="49" fontId="6" fillId="0" borderId="14" xfId="0" applyNumberFormat="1" applyFont="1" applyBorder="1" applyAlignment="1">
      <alignment horizontal="center" wrapText="1"/>
    </xf>
    <xf numFmtId="11" fontId="9" fillId="0" borderId="13" xfId="0" applyNumberFormat="1" applyFont="1" applyFill="1" applyBorder="1" applyAlignment="1">
      <alignment vertical="top" wrapText="1"/>
    </xf>
    <xf numFmtId="0" fontId="15" fillId="0" borderId="0" xfId="0" applyFont="1" applyAlignment="1">
      <alignment/>
    </xf>
    <xf numFmtId="4" fontId="21" fillId="14" borderId="13" xfId="0" applyNumberFormat="1" applyFont="1" applyFill="1" applyBorder="1" applyAlignment="1">
      <alignment horizontal="right"/>
    </xf>
    <xf numFmtId="4" fontId="25" fillId="14" borderId="13" xfId="0" applyNumberFormat="1" applyFont="1" applyFill="1" applyBorder="1" applyAlignment="1">
      <alignment horizontal="right"/>
    </xf>
    <xf numFmtId="0" fontId="14" fillId="0" borderId="17" xfId="0" applyFont="1" applyFill="1" applyBorder="1" applyAlignment="1">
      <alignment wrapText="1"/>
    </xf>
    <xf numFmtId="0" fontId="30" fillId="0" borderId="13" xfId="0" applyFont="1" applyBorder="1" applyAlignment="1">
      <alignment wrapText="1"/>
    </xf>
    <xf numFmtId="0" fontId="30" fillId="0" borderId="13" xfId="0" applyFont="1" applyBorder="1" applyAlignment="1">
      <alignment horizontal="left" wrapText="1"/>
    </xf>
    <xf numFmtId="0" fontId="9" fillId="18" borderId="18" xfId="0" applyFont="1" applyFill="1" applyBorder="1" applyAlignment="1">
      <alignment vertical="top" wrapText="1"/>
    </xf>
    <xf numFmtId="0" fontId="4" fillId="14" borderId="13" xfId="0" applyFont="1" applyFill="1" applyBorder="1" applyAlignment="1">
      <alignment horizontal="center" vertical="center"/>
    </xf>
    <xf numFmtId="4" fontId="4" fillId="14" borderId="13" xfId="0" applyNumberFormat="1" applyFont="1" applyFill="1" applyBorder="1" applyAlignment="1">
      <alignment/>
    </xf>
    <xf numFmtId="49" fontId="9" fillId="18" borderId="19" xfId="0" applyNumberFormat="1" applyFont="1" applyFill="1" applyBorder="1" applyAlignment="1">
      <alignment horizontal="center" vertical="center" wrapText="1" shrinkToFit="1"/>
    </xf>
    <xf numFmtId="0" fontId="6" fillId="14" borderId="13" xfId="0" applyFont="1" applyFill="1" applyBorder="1" applyAlignment="1">
      <alignment horizontal="center" wrapText="1"/>
    </xf>
    <xf numFmtId="49" fontId="10" fillId="14" borderId="14" xfId="0" applyNumberFormat="1" applyFont="1" applyFill="1" applyBorder="1" applyAlignment="1">
      <alignment horizontal="center" wrapText="1"/>
    </xf>
    <xf numFmtId="4" fontId="29" fillId="14" borderId="13" xfId="0" applyNumberFormat="1" applyFont="1" applyFill="1" applyBorder="1" applyAlignment="1">
      <alignment/>
    </xf>
    <xf numFmtId="0" fontId="5" fillId="14" borderId="13" xfId="0" applyFont="1" applyFill="1" applyBorder="1" applyAlignment="1">
      <alignment horizontal="center" wrapText="1"/>
    </xf>
    <xf numFmtId="4" fontId="31" fillId="14" borderId="13" xfId="0" applyNumberFormat="1" applyFont="1" applyFill="1" applyBorder="1" applyAlignment="1">
      <alignment/>
    </xf>
    <xf numFmtId="4" fontId="32" fillId="0" borderId="0" xfId="0" applyNumberFormat="1" applyFont="1" applyAlignment="1">
      <alignment/>
    </xf>
    <xf numFmtId="4" fontId="21" fillId="14" borderId="13" xfId="0" applyNumberFormat="1" applyFont="1" applyFill="1" applyBorder="1" applyAlignment="1" applyProtection="1">
      <alignment/>
      <protection locked="0"/>
    </xf>
    <xf numFmtId="4" fontId="17" fillId="14" borderId="13" xfId="0" applyNumberFormat="1" applyFont="1" applyFill="1" applyBorder="1" applyAlignment="1">
      <alignment/>
    </xf>
    <xf numFmtId="4" fontId="31" fillId="14" borderId="13" xfId="0" applyNumberFormat="1" applyFont="1" applyFill="1" applyBorder="1" applyAlignment="1" applyProtection="1">
      <alignment/>
      <protection locked="0"/>
    </xf>
    <xf numFmtId="49" fontId="9" fillId="18" borderId="13" xfId="0" applyNumberFormat="1" applyFont="1" applyFill="1" applyBorder="1" applyAlignment="1">
      <alignment horizontal="center" vertical="center" wrapText="1" shrinkToFit="1"/>
    </xf>
    <xf numFmtId="4" fontId="9" fillId="0" borderId="16" xfId="0" applyNumberFormat="1" applyFont="1" applyFill="1" applyBorder="1" applyAlignment="1">
      <alignment horizontal="left" vertical="center" wrapText="1"/>
    </xf>
    <xf numFmtId="4" fontId="9" fillId="0" borderId="20" xfId="0" applyNumberFormat="1" applyFont="1" applyFill="1" applyBorder="1" applyAlignment="1">
      <alignment horizontal="left" vertical="center" wrapText="1"/>
    </xf>
    <xf numFmtId="49" fontId="5" fillId="0" borderId="13" xfId="0" applyNumberFormat="1" applyFont="1" applyFill="1" applyBorder="1" applyAlignment="1" applyProtection="1">
      <alignment horizontal="left" wrapText="1"/>
      <protection locked="0"/>
    </xf>
    <xf numFmtId="0" fontId="9" fillId="0" borderId="21" xfId="0" applyFont="1" applyFill="1" applyBorder="1" applyAlignment="1">
      <alignment vertical="top" wrapText="1"/>
    </xf>
    <xf numFmtId="0" fontId="4" fillId="0" borderId="13" xfId="0" applyNumberFormat="1" applyFont="1" applyFill="1" applyBorder="1" applyAlignment="1" applyProtection="1">
      <alignment horizontal="left" vertical="top" wrapText="1"/>
      <protection locked="0"/>
    </xf>
    <xf numFmtId="0" fontId="0" fillId="0" borderId="0" xfId="0" applyFont="1" applyBorder="1" applyAlignment="1">
      <alignment horizontal="right"/>
    </xf>
    <xf numFmtId="0" fontId="0" fillId="0" borderId="22" xfId="0" applyFont="1" applyBorder="1" applyAlignment="1">
      <alignment horizontal="right"/>
    </xf>
    <xf numFmtId="0" fontId="33" fillId="0" borderId="0" xfId="0" applyFont="1" applyAlignment="1">
      <alignment/>
    </xf>
    <xf numFmtId="0" fontId="16" fillId="0" borderId="0" xfId="0" applyFont="1" applyAlignment="1">
      <alignment/>
    </xf>
    <xf numFmtId="0" fontId="24" fillId="14" borderId="0" xfId="0" applyFont="1" applyFill="1" applyAlignment="1">
      <alignment/>
    </xf>
    <xf numFmtId="2" fontId="7" fillId="14" borderId="13" xfId="0" applyNumberFormat="1" applyFont="1" applyFill="1" applyBorder="1" applyAlignment="1">
      <alignment horizontal="center"/>
    </xf>
    <xf numFmtId="4" fontId="34" fillId="14" borderId="13" xfId="0" applyNumberFormat="1" applyFont="1" applyFill="1" applyBorder="1" applyAlignment="1">
      <alignment/>
    </xf>
    <xf numFmtId="49" fontId="31" fillId="14" borderId="13" xfId="0" applyNumberFormat="1" applyFont="1" applyFill="1" applyBorder="1" applyAlignment="1">
      <alignment horizontal="center" wrapText="1"/>
    </xf>
    <xf numFmtId="49" fontId="21" fillId="14" borderId="13" xfId="0" applyNumberFormat="1" applyFont="1" applyFill="1" applyBorder="1" applyAlignment="1">
      <alignment horizontal="center" wrapText="1"/>
    </xf>
    <xf numFmtId="49" fontId="21" fillId="0" borderId="13" xfId="0" applyNumberFormat="1" applyFont="1" applyBorder="1" applyAlignment="1">
      <alignment horizontal="center" wrapText="1"/>
    </xf>
    <xf numFmtId="49" fontId="21" fillId="0" borderId="13" xfId="0" applyNumberFormat="1" applyFont="1" applyBorder="1" applyAlignment="1">
      <alignment horizontal="center"/>
    </xf>
    <xf numFmtId="49" fontId="21" fillId="14" borderId="13" xfId="0" applyNumberFormat="1" applyFont="1" applyFill="1" applyBorder="1" applyAlignment="1">
      <alignment horizontal="center"/>
    </xf>
    <xf numFmtId="49" fontId="31" fillId="0" borderId="13" xfId="0" applyNumberFormat="1" applyFont="1" applyBorder="1" applyAlignment="1">
      <alignment horizontal="center" wrapText="1"/>
    </xf>
    <xf numFmtId="49" fontId="31" fillId="16" borderId="13" xfId="0" applyNumberFormat="1" applyFont="1" applyFill="1" applyBorder="1" applyAlignment="1">
      <alignment horizontal="center" wrapText="1"/>
    </xf>
    <xf numFmtId="49" fontId="21" fillId="0" borderId="13" xfId="0" applyNumberFormat="1" applyFont="1" applyBorder="1" applyAlignment="1">
      <alignment horizontal="left" wrapText="1"/>
    </xf>
    <xf numFmtId="49" fontId="21" fillId="14" borderId="13" xfId="0" applyNumberFormat="1" applyFont="1" applyFill="1" applyBorder="1" applyAlignment="1">
      <alignment horizontal="left" vertical="center" wrapText="1"/>
    </xf>
    <xf numFmtId="49" fontId="21" fillId="0" borderId="13" xfId="0" applyNumberFormat="1" applyFont="1" applyFill="1" applyBorder="1" applyAlignment="1" applyProtection="1">
      <alignment horizontal="center" wrapText="1"/>
      <protection locked="0"/>
    </xf>
    <xf numFmtId="49" fontId="5" fillId="0" borderId="13" xfId="0" applyNumberFormat="1" applyFont="1" applyFill="1" applyBorder="1" applyAlignment="1" applyProtection="1">
      <alignment horizontal="centerContinuous" wrapText="1"/>
      <protection locked="0"/>
    </xf>
    <xf numFmtId="49" fontId="35" fillId="0" borderId="13" xfId="0" applyNumberFormat="1" applyFont="1" applyBorder="1" applyAlignment="1">
      <alignment horizontal="center" wrapText="1"/>
    </xf>
    <xf numFmtId="49" fontId="21" fillId="0" borderId="13" xfId="0" applyNumberFormat="1" applyFont="1" applyBorder="1" applyAlignment="1">
      <alignment horizontal="left" vertical="center" wrapText="1"/>
    </xf>
    <xf numFmtId="49" fontId="5" fillId="0" borderId="13" xfId="0" applyNumberFormat="1" applyFont="1" applyBorder="1" applyAlignment="1">
      <alignment horizontal="right" wrapText="1"/>
    </xf>
    <xf numFmtId="49" fontId="31" fillId="16" borderId="13" xfId="0" applyNumberFormat="1" applyFont="1" applyFill="1" applyBorder="1" applyAlignment="1">
      <alignment horizontal="center"/>
    </xf>
    <xf numFmtId="49" fontId="5" fillId="0" borderId="13" xfId="0" applyNumberFormat="1" applyFont="1" applyFill="1" applyBorder="1" applyAlignment="1" applyProtection="1">
      <alignment horizontal="left" vertical="top" wrapText="1"/>
      <protection locked="0"/>
    </xf>
    <xf numFmtId="0" fontId="56" fillId="0" borderId="10" xfId="80" applyNumberFormat="1" applyProtection="1">
      <alignment vertical="top" wrapText="1"/>
      <protection/>
    </xf>
    <xf numFmtId="49" fontId="57" fillId="0" borderId="10" xfId="71" applyNumberFormat="1" applyFont="1" applyAlignment="1" applyProtection="1">
      <alignment horizontal="center" vertical="center" shrinkToFit="1"/>
      <protection/>
    </xf>
    <xf numFmtId="4" fontId="10" fillId="16" borderId="13" xfId="0" applyNumberFormat="1" applyFont="1" applyFill="1" applyBorder="1" applyAlignment="1">
      <alignment wrapText="1"/>
    </xf>
    <xf numFmtId="2" fontId="7" fillId="14" borderId="13" xfId="0" applyNumberFormat="1" applyFont="1" applyFill="1" applyBorder="1" applyAlignment="1">
      <alignment horizontal="right" shrinkToFit="1"/>
    </xf>
    <xf numFmtId="2" fontId="7" fillId="14" borderId="13" xfId="0" applyNumberFormat="1" applyFont="1" applyFill="1" applyBorder="1" applyAlignment="1" applyProtection="1">
      <alignment/>
      <protection locked="0"/>
    </xf>
    <xf numFmtId="4" fontId="10" fillId="16" borderId="13" xfId="0" applyNumberFormat="1" applyFont="1" applyFill="1" applyBorder="1" applyAlignment="1">
      <alignment/>
    </xf>
    <xf numFmtId="0" fontId="8" fillId="0" borderId="10" xfId="80" applyNumberFormat="1" applyFont="1" applyProtection="1">
      <alignment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 locked="0"/>
    </xf>
    <xf numFmtId="49" fontId="4" fillId="0" borderId="13" xfId="0" applyNumberFormat="1" applyFont="1" applyFill="1" applyBorder="1" applyAlignment="1" applyProtection="1">
      <alignment horizontal="left" wrapText="1"/>
      <protection locked="0"/>
    </xf>
    <xf numFmtId="0" fontId="28" fillId="0" borderId="10" xfId="80" applyNumberFormat="1" applyFont="1" applyProtection="1">
      <alignment vertical="top" wrapText="1"/>
      <protection/>
    </xf>
    <xf numFmtId="0" fontId="18" fillId="0" borderId="13" xfId="0" applyFont="1" applyBorder="1" applyAlignment="1">
      <alignment/>
    </xf>
    <xf numFmtId="0" fontId="15" fillId="0" borderId="13" xfId="0" applyFont="1" applyBorder="1" applyAlignment="1">
      <alignment/>
    </xf>
    <xf numFmtId="49" fontId="5" fillId="14" borderId="13" xfId="0" applyNumberFormat="1" applyFont="1" applyFill="1" applyBorder="1" applyAlignment="1">
      <alignment horizontal="center" wrapText="1"/>
    </xf>
    <xf numFmtId="0" fontId="24" fillId="14" borderId="13" xfId="0" applyFont="1" applyFill="1" applyBorder="1" applyAlignment="1">
      <alignment wrapText="1"/>
    </xf>
    <xf numFmtId="0" fontId="25" fillId="0" borderId="13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left" vertical="center" wrapText="1"/>
    </xf>
    <xf numFmtId="4" fontId="58" fillId="0" borderId="13" xfId="0" applyNumberFormat="1" applyFont="1" applyFill="1" applyBorder="1" applyAlignment="1">
      <alignment/>
    </xf>
    <xf numFmtId="0" fontId="15" fillId="14" borderId="13" xfId="0" applyFont="1" applyFill="1" applyBorder="1" applyAlignment="1">
      <alignment/>
    </xf>
    <xf numFmtId="0" fontId="0" fillId="0" borderId="0" xfId="0" applyFont="1" applyAlignment="1">
      <alignment/>
    </xf>
    <xf numFmtId="4" fontId="59" fillId="14" borderId="13" xfId="0" applyNumberFormat="1" applyFont="1" applyFill="1" applyBorder="1" applyAlignment="1">
      <alignment wrapText="1"/>
    </xf>
    <xf numFmtId="0" fontId="9" fillId="0" borderId="13" xfId="0" applyFont="1" applyFill="1" applyBorder="1" applyAlignment="1">
      <alignment vertical="top" wrapText="1"/>
    </xf>
    <xf numFmtId="49" fontId="5" fillId="0" borderId="13" xfId="0" applyNumberFormat="1" applyFont="1" applyBorder="1" applyAlignment="1">
      <alignment horizontal="center"/>
    </xf>
    <xf numFmtId="170" fontId="4" fillId="0" borderId="13" xfId="0" applyNumberFormat="1" applyFont="1" applyBorder="1" applyAlignment="1">
      <alignment vertical="center" wrapText="1"/>
    </xf>
    <xf numFmtId="0" fontId="60" fillId="0" borderId="13" xfId="0" applyFont="1" applyBorder="1" applyAlignment="1">
      <alignment horizontal="center" vertical="center" wrapText="1"/>
    </xf>
    <xf numFmtId="49" fontId="10" fillId="18" borderId="19" xfId="0" applyNumberFormat="1" applyFont="1" applyFill="1" applyBorder="1" applyAlignment="1">
      <alignment horizontal="center" vertical="center" wrapText="1" shrinkToFi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21" fillId="0" borderId="13" xfId="0" applyFont="1" applyBorder="1" applyAlignment="1">
      <alignment horizontal="center" wrapText="1"/>
    </xf>
    <xf numFmtId="0" fontId="4" fillId="0" borderId="13" xfId="0" applyFont="1" applyFill="1" applyBorder="1" applyAlignment="1">
      <alignment horizontal="center" vertical="center"/>
    </xf>
    <xf numFmtId="0" fontId="9" fillId="0" borderId="13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  <xf numFmtId="0" fontId="0" fillId="0" borderId="13" xfId="0" applyFont="1" applyBorder="1" applyAlignment="1">
      <alignment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9" fillId="0" borderId="16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4" fillId="0" borderId="16" xfId="0" applyFont="1" applyBorder="1" applyAlignment="1">
      <alignment horizontal="center" vertical="justify" wrapText="1"/>
    </xf>
    <xf numFmtId="0" fontId="4" fillId="0" borderId="17" xfId="0" applyFont="1" applyBorder="1" applyAlignment="1">
      <alignment horizontal="center" vertical="justify" wrapText="1"/>
    </xf>
    <xf numFmtId="0" fontId="4" fillId="0" borderId="14" xfId="0" applyFont="1" applyBorder="1" applyAlignment="1">
      <alignment horizontal="center" vertical="justify" wrapText="1"/>
    </xf>
    <xf numFmtId="0" fontId="10" fillId="0" borderId="13" xfId="0" applyFont="1" applyBorder="1" applyAlignment="1">
      <alignment horizontal="left" vertical="top" wrapText="1"/>
    </xf>
    <xf numFmtId="0" fontId="10" fillId="0" borderId="16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</cellXfs>
  <cellStyles count="8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r" xfId="40"/>
    <cellStyle name="Calculation" xfId="41"/>
    <cellStyle name="Check Cell" xfId="42"/>
    <cellStyle name="col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Linked Cell" xfId="51"/>
    <cellStyle name="Neutral" xfId="52"/>
    <cellStyle name="Note" xfId="53"/>
    <cellStyle name="Output" xfId="54"/>
    <cellStyle name="style0" xfId="55"/>
    <cellStyle name="td" xfId="56"/>
    <cellStyle name="Title" xfId="57"/>
    <cellStyle name="Total" xfId="58"/>
    <cellStyle name="tr" xfId="59"/>
    <cellStyle name="Warning Text" xfId="60"/>
    <cellStyle name="xl21" xfId="61"/>
    <cellStyle name="xl22" xfId="62"/>
    <cellStyle name="xl23" xfId="63"/>
    <cellStyle name="xl24" xfId="64"/>
    <cellStyle name="xl25" xfId="65"/>
    <cellStyle name="xl26" xfId="66"/>
    <cellStyle name="xl27" xfId="67"/>
    <cellStyle name="xl28" xfId="68"/>
    <cellStyle name="xl29" xfId="69"/>
    <cellStyle name="xl30" xfId="70"/>
    <cellStyle name="xl31" xfId="71"/>
    <cellStyle name="xl32" xfId="72"/>
    <cellStyle name="xl33" xfId="73"/>
    <cellStyle name="xl34" xfId="74"/>
    <cellStyle name="xl35" xfId="75"/>
    <cellStyle name="xl36" xfId="76"/>
    <cellStyle name="xl37" xfId="77"/>
    <cellStyle name="xl38" xfId="78"/>
    <cellStyle name="xl39" xfId="79"/>
    <cellStyle name="xl40" xfId="80"/>
    <cellStyle name="xl41" xfId="81"/>
    <cellStyle name="xl42" xfId="82"/>
    <cellStyle name="xl43" xfId="83"/>
    <cellStyle name="xl44" xfId="84"/>
    <cellStyle name="xl45" xfId="85"/>
    <cellStyle name="xl46" xfId="86"/>
    <cellStyle name="Hyperlink" xfId="87"/>
    <cellStyle name="Currency" xfId="88"/>
    <cellStyle name="Currency [0]" xfId="89"/>
    <cellStyle name="Обычный_на 01.02.2015" xfId="90"/>
    <cellStyle name="Обычный_на 01.05.14 " xfId="91"/>
    <cellStyle name="Followed Hyperlink" xfId="92"/>
    <cellStyle name="Percent" xfId="93"/>
    <cellStyle name="Comma" xfId="94"/>
    <cellStyle name="Comma [0]" xfId="9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4"/>
  <dimension ref="A1:T171"/>
  <sheetViews>
    <sheetView tabSelected="1" zoomScaleSheetLayoutView="75" workbookViewId="0" topLeftCell="A129">
      <selection activeCell="Q156" sqref="Q156"/>
    </sheetView>
  </sheetViews>
  <sheetFormatPr defaultColWidth="9.00390625" defaultRowHeight="12.75"/>
  <cols>
    <col min="1" max="1" width="3.25390625" style="15" customWidth="1"/>
    <col min="2" max="2" width="63.375" style="1" customWidth="1"/>
    <col min="3" max="3" width="8.125" style="1" customWidth="1"/>
    <col min="4" max="4" width="19.625" style="16" customWidth="1"/>
    <col min="5" max="5" width="11.875" style="51" customWidth="1"/>
    <col min="6" max="6" width="13.125" style="1" customWidth="1"/>
    <col min="7" max="7" width="13.75390625" style="1" customWidth="1"/>
    <col min="8" max="8" width="13.375" style="1" customWidth="1"/>
    <col min="9" max="9" width="14.75390625" style="1" customWidth="1"/>
    <col min="10" max="10" width="7.875" style="1" customWidth="1"/>
    <col min="11" max="13" width="9.125" style="1" hidden="1" customWidth="1"/>
    <col min="14" max="14" width="6.00390625" style="1" hidden="1" customWidth="1"/>
    <col min="15" max="16" width="9.125" style="1" hidden="1" customWidth="1"/>
    <col min="17" max="17" width="15.25390625" style="1" customWidth="1"/>
    <col min="18" max="18" width="14.00390625" style="1" customWidth="1"/>
    <col min="19" max="19" width="13.00390625" style="1" customWidth="1"/>
    <col min="20" max="20" width="11.75390625" style="1" bestFit="1" customWidth="1"/>
    <col min="21" max="16384" width="9.125" style="1" customWidth="1"/>
  </cols>
  <sheetData>
    <row r="1" ht="12.75">
      <c r="I1" s="55"/>
    </row>
    <row r="2" spans="1:9" ht="15.75">
      <c r="A2" s="197" t="s">
        <v>235</v>
      </c>
      <c r="B2" s="197"/>
      <c r="C2" s="197"/>
      <c r="D2" s="197"/>
      <c r="E2" s="197"/>
      <c r="F2" s="197"/>
      <c r="G2" s="197"/>
      <c r="H2" s="197"/>
      <c r="I2" s="197"/>
    </row>
    <row r="3" spans="1:19" ht="68.25" customHeight="1">
      <c r="A3" s="20" t="s">
        <v>11</v>
      </c>
      <c r="B3" s="21" t="s">
        <v>12</v>
      </c>
      <c r="C3" s="21" t="s">
        <v>13</v>
      </c>
      <c r="D3" s="22" t="s">
        <v>14</v>
      </c>
      <c r="E3" s="45" t="s">
        <v>15</v>
      </c>
      <c r="F3" s="21" t="s">
        <v>16</v>
      </c>
      <c r="G3" s="21" t="s">
        <v>17</v>
      </c>
      <c r="H3" s="21" t="s">
        <v>18</v>
      </c>
      <c r="I3" s="21" t="s">
        <v>282</v>
      </c>
      <c r="J3" s="97" t="s">
        <v>159</v>
      </c>
      <c r="Q3" s="99"/>
      <c r="R3" s="66"/>
      <c r="S3" s="66"/>
    </row>
    <row r="4" spans="1:19" ht="28.5" customHeight="1">
      <c r="A4" s="20">
        <v>1</v>
      </c>
      <c r="B4" s="23" t="s">
        <v>72</v>
      </c>
      <c r="C4" s="95" t="s">
        <v>118</v>
      </c>
      <c r="D4" s="163" t="s">
        <v>241</v>
      </c>
      <c r="E4" s="46" t="s">
        <v>248</v>
      </c>
      <c r="F4" s="75">
        <f>F5+F6+F7+F8+F9+F10+F11+F12+F13+F14+F15+F16</f>
        <v>788400</v>
      </c>
      <c r="G4" s="75">
        <f>G5+G6+G7+G8+G9+G10+G11+G12+G13+G14+G15+G16</f>
        <v>394200</v>
      </c>
      <c r="H4" s="75">
        <f>H5+H6+H7+H8+H9+H10+H11+H12+H13+H14+H15+H16</f>
        <v>293650.74</v>
      </c>
      <c r="I4" s="114">
        <f aca="true" t="shared" si="0" ref="I4:I33">G4-H4</f>
        <v>100549.26000000001</v>
      </c>
      <c r="J4" s="98">
        <f>G4/F4*100</f>
        <v>50</v>
      </c>
      <c r="Q4" s="2"/>
      <c r="R4" s="75"/>
      <c r="S4" s="64"/>
    </row>
    <row r="5" spans="1:19" ht="12" customHeight="1">
      <c r="A5" s="20"/>
      <c r="B5" s="72" t="s">
        <v>120</v>
      </c>
      <c r="C5" s="95"/>
      <c r="D5" s="154"/>
      <c r="E5" s="47"/>
      <c r="F5" s="151">
        <v>58400</v>
      </c>
      <c r="G5" s="107">
        <f aca="true" t="shared" si="1" ref="G5:G15">4866+9734+14600</f>
        <v>29200</v>
      </c>
      <c r="H5" s="172">
        <v>22403.38</v>
      </c>
      <c r="I5" s="173">
        <f t="shared" si="0"/>
        <v>6796.619999999999</v>
      </c>
      <c r="J5" s="98"/>
      <c r="Q5" s="2"/>
      <c r="R5" s="65"/>
      <c r="S5" s="64"/>
    </row>
    <row r="6" spans="1:19" ht="11.25" customHeight="1">
      <c r="A6" s="20"/>
      <c r="B6" s="72" t="s">
        <v>121</v>
      </c>
      <c r="C6" s="95"/>
      <c r="D6" s="154"/>
      <c r="E6" s="47"/>
      <c r="F6" s="151">
        <v>58400</v>
      </c>
      <c r="G6" s="107">
        <f t="shared" si="1"/>
        <v>29200</v>
      </c>
      <c r="H6" s="172">
        <v>20939.12</v>
      </c>
      <c r="I6" s="173">
        <f t="shared" si="0"/>
        <v>8260.880000000001</v>
      </c>
      <c r="J6" s="98"/>
      <c r="Q6" s="2"/>
      <c r="R6" s="65"/>
      <c r="S6" s="64"/>
    </row>
    <row r="7" spans="1:19" ht="11.25" customHeight="1">
      <c r="A7" s="20"/>
      <c r="B7" s="72" t="s">
        <v>122</v>
      </c>
      <c r="C7" s="95"/>
      <c r="D7" s="154"/>
      <c r="E7" s="47"/>
      <c r="F7" s="151">
        <v>58400</v>
      </c>
      <c r="G7" s="107">
        <f t="shared" si="1"/>
        <v>29200</v>
      </c>
      <c r="H7" s="172">
        <v>17532.24</v>
      </c>
      <c r="I7" s="173">
        <f t="shared" si="0"/>
        <v>11667.759999999998</v>
      </c>
      <c r="J7" s="98"/>
      <c r="Q7" s="2"/>
      <c r="R7" s="65"/>
      <c r="S7" s="64"/>
    </row>
    <row r="8" spans="1:19" ht="12" customHeight="1">
      <c r="A8" s="20"/>
      <c r="B8" s="72" t="s">
        <v>123</v>
      </c>
      <c r="C8" s="95"/>
      <c r="D8" s="154"/>
      <c r="E8" s="47"/>
      <c r="F8" s="151">
        <v>58400</v>
      </c>
      <c r="G8" s="107">
        <f t="shared" si="1"/>
        <v>29200</v>
      </c>
      <c r="H8" s="172">
        <v>16940.39</v>
      </c>
      <c r="I8" s="173">
        <f t="shared" si="0"/>
        <v>12259.61</v>
      </c>
      <c r="J8" s="98"/>
      <c r="Q8" s="2"/>
      <c r="R8" s="65"/>
      <c r="S8" s="64"/>
    </row>
    <row r="9" spans="1:19" ht="13.5" customHeight="1">
      <c r="A9" s="20"/>
      <c r="B9" s="72" t="s">
        <v>124</v>
      </c>
      <c r="C9" s="95"/>
      <c r="D9" s="154"/>
      <c r="E9" s="47"/>
      <c r="F9" s="151">
        <v>58400</v>
      </c>
      <c r="G9" s="107">
        <f t="shared" si="1"/>
        <v>29200</v>
      </c>
      <c r="H9" s="172">
        <v>22570.71</v>
      </c>
      <c r="I9" s="173">
        <f t="shared" si="0"/>
        <v>6629.290000000001</v>
      </c>
      <c r="J9" s="98"/>
      <c r="Q9" s="2"/>
      <c r="R9" s="65"/>
      <c r="S9" s="64"/>
    </row>
    <row r="10" spans="1:19" ht="12.75" customHeight="1">
      <c r="A10" s="20"/>
      <c r="B10" s="72" t="s">
        <v>125</v>
      </c>
      <c r="C10" s="95"/>
      <c r="D10" s="154"/>
      <c r="E10" s="47"/>
      <c r="F10" s="151">
        <v>58400</v>
      </c>
      <c r="G10" s="107">
        <f t="shared" si="1"/>
        <v>29200</v>
      </c>
      <c r="H10" s="172">
        <v>25612.07</v>
      </c>
      <c r="I10" s="173">
        <f t="shared" si="0"/>
        <v>3587.9300000000003</v>
      </c>
      <c r="J10" s="98"/>
      <c r="Q10" s="2"/>
      <c r="R10" s="65"/>
      <c r="S10" s="64"/>
    </row>
    <row r="11" spans="1:19" ht="11.25" customHeight="1">
      <c r="A11" s="20"/>
      <c r="B11" s="72" t="s">
        <v>126</v>
      </c>
      <c r="C11" s="95"/>
      <c r="D11" s="154"/>
      <c r="E11" s="47"/>
      <c r="F11" s="151">
        <v>58400</v>
      </c>
      <c r="G11" s="107">
        <f t="shared" si="1"/>
        <v>29200</v>
      </c>
      <c r="H11" s="172">
        <v>20916.54</v>
      </c>
      <c r="I11" s="173">
        <f t="shared" si="0"/>
        <v>8283.46</v>
      </c>
      <c r="J11" s="98"/>
      <c r="Q11" s="2"/>
      <c r="R11" s="65"/>
      <c r="S11" s="64"/>
    </row>
    <row r="12" spans="1:19" ht="12.75" customHeight="1">
      <c r="A12" s="20"/>
      <c r="B12" s="72" t="s">
        <v>127</v>
      </c>
      <c r="C12" s="95"/>
      <c r="D12" s="154"/>
      <c r="E12" s="47"/>
      <c r="F12" s="151">
        <v>58400</v>
      </c>
      <c r="G12" s="107">
        <f t="shared" si="1"/>
        <v>29200</v>
      </c>
      <c r="H12" s="172">
        <v>26312.98</v>
      </c>
      <c r="I12" s="173">
        <f t="shared" si="0"/>
        <v>2887.0200000000004</v>
      </c>
      <c r="J12" s="98"/>
      <c r="Q12" s="2"/>
      <c r="R12" s="65"/>
      <c r="S12" s="64"/>
    </row>
    <row r="13" spans="1:19" ht="12" customHeight="1">
      <c r="A13" s="20"/>
      <c r="B13" s="72" t="s">
        <v>128</v>
      </c>
      <c r="C13" s="95"/>
      <c r="D13" s="154"/>
      <c r="E13" s="47"/>
      <c r="F13" s="151">
        <v>58400</v>
      </c>
      <c r="G13" s="107">
        <f t="shared" si="1"/>
        <v>29200</v>
      </c>
      <c r="H13" s="172">
        <v>21912.05</v>
      </c>
      <c r="I13" s="173">
        <f t="shared" si="0"/>
        <v>7287.950000000001</v>
      </c>
      <c r="J13" s="98"/>
      <c r="Q13" s="2"/>
      <c r="R13" s="65"/>
      <c r="S13" s="64"/>
    </row>
    <row r="14" spans="1:19" ht="12.75" customHeight="1">
      <c r="A14" s="20"/>
      <c r="B14" s="72" t="s">
        <v>129</v>
      </c>
      <c r="C14" s="95"/>
      <c r="D14" s="154"/>
      <c r="E14" s="47"/>
      <c r="F14" s="151">
        <v>58400</v>
      </c>
      <c r="G14" s="107">
        <f t="shared" si="1"/>
        <v>29200</v>
      </c>
      <c r="H14" s="172">
        <v>20961.8</v>
      </c>
      <c r="I14" s="173">
        <f t="shared" si="0"/>
        <v>8238.2</v>
      </c>
      <c r="J14" s="98"/>
      <c r="Q14" s="2"/>
      <c r="R14" s="65"/>
      <c r="S14" s="64"/>
    </row>
    <row r="15" spans="1:19" ht="14.25" customHeight="1">
      <c r="A15" s="20"/>
      <c r="B15" s="72" t="s">
        <v>130</v>
      </c>
      <c r="C15" s="95"/>
      <c r="D15" s="154"/>
      <c r="E15" s="47"/>
      <c r="F15" s="151">
        <v>58400</v>
      </c>
      <c r="G15" s="107">
        <f t="shared" si="1"/>
        <v>29200</v>
      </c>
      <c r="H15" s="172">
        <v>20473.01</v>
      </c>
      <c r="I15" s="173">
        <f t="shared" si="0"/>
        <v>8726.990000000002</v>
      </c>
      <c r="J15" s="98"/>
      <c r="Q15" s="2"/>
      <c r="R15" s="65"/>
      <c r="S15" s="64"/>
    </row>
    <row r="16" spans="1:19" ht="13.5" customHeight="1">
      <c r="A16" s="20"/>
      <c r="B16" s="72" t="s">
        <v>236</v>
      </c>
      <c r="C16" s="95"/>
      <c r="D16" s="154"/>
      <c r="E16" s="47"/>
      <c r="F16" s="151">
        <v>146000</v>
      </c>
      <c r="G16" s="107">
        <f>12474+24026+36500</f>
        <v>73000</v>
      </c>
      <c r="H16" s="172">
        <v>57076.45</v>
      </c>
      <c r="I16" s="173">
        <f t="shared" si="0"/>
        <v>15923.550000000003</v>
      </c>
      <c r="J16" s="98"/>
      <c r="Q16" s="2"/>
      <c r="R16" s="65"/>
      <c r="S16" s="64"/>
    </row>
    <row r="17" spans="1:19" ht="34.5" customHeight="1">
      <c r="A17" s="20"/>
      <c r="B17" s="23" t="s">
        <v>19</v>
      </c>
      <c r="C17" s="95" t="s">
        <v>20</v>
      </c>
      <c r="D17" s="181" t="s">
        <v>284</v>
      </c>
      <c r="E17" s="47" t="s">
        <v>283</v>
      </c>
      <c r="F17" s="57">
        <v>420</v>
      </c>
      <c r="G17" s="57">
        <v>420</v>
      </c>
      <c r="H17" s="67">
        <v>420</v>
      </c>
      <c r="I17" s="114">
        <f t="shared" si="0"/>
        <v>0</v>
      </c>
      <c r="J17" s="98">
        <f aca="true" t="shared" si="2" ref="J17:J29">G17/F17*100</f>
        <v>100</v>
      </c>
      <c r="Q17" s="2"/>
      <c r="R17" s="65"/>
      <c r="S17" s="64"/>
    </row>
    <row r="18" spans="1:19" ht="54" customHeight="1">
      <c r="A18" s="20"/>
      <c r="B18" s="145" t="s">
        <v>294</v>
      </c>
      <c r="C18" s="11" t="s">
        <v>37</v>
      </c>
      <c r="D18" s="143" t="s">
        <v>254</v>
      </c>
      <c r="E18" s="46" t="s">
        <v>265</v>
      </c>
      <c r="F18" s="61">
        <f>2200000+240000+420000</f>
        <v>2860000</v>
      </c>
      <c r="G18" s="62">
        <f>1588735+190682+168229</f>
        <v>1947646</v>
      </c>
      <c r="H18" s="57">
        <v>1947646</v>
      </c>
      <c r="I18" s="57">
        <f t="shared" si="0"/>
        <v>0</v>
      </c>
      <c r="J18" s="98">
        <f t="shared" si="2"/>
        <v>68.09951048951048</v>
      </c>
      <c r="Q18" s="2"/>
      <c r="R18" s="65"/>
      <c r="S18" s="64"/>
    </row>
    <row r="19" spans="1:19" ht="51.75" customHeight="1" hidden="1">
      <c r="A19" s="20"/>
      <c r="B19" s="176" t="s">
        <v>266</v>
      </c>
      <c r="C19" s="11" t="s">
        <v>37</v>
      </c>
      <c r="D19" s="143" t="s">
        <v>254</v>
      </c>
      <c r="E19" s="46" t="s">
        <v>265</v>
      </c>
      <c r="F19" s="61">
        <f>240000-240000</f>
        <v>0</v>
      </c>
      <c r="G19" s="122"/>
      <c r="H19" s="73"/>
      <c r="I19" s="73">
        <f t="shared" si="0"/>
        <v>0</v>
      </c>
      <c r="J19" s="98" t="e">
        <f t="shared" si="2"/>
        <v>#DIV/0!</v>
      </c>
      <c r="Q19" s="2"/>
      <c r="R19" s="65"/>
      <c r="S19" s="64"/>
    </row>
    <row r="20" spans="1:19" ht="54" customHeight="1" hidden="1">
      <c r="A20" s="20"/>
      <c r="B20" s="176" t="s">
        <v>266</v>
      </c>
      <c r="C20" s="11" t="s">
        <v>37</v>
      </c>
      <c r="D20" s="143" t="s">
        <v>254</v>
      </c>
      <c r="E20" s="46" t="s">
        <v>265</v>
      </c>
      <c r="F20" s="61">
        <f>420000-420000</f>
        <v>0</v>
      </c>
      <c r="G20" s="122"/>
      <c r="H20" s="73"/>
      <c r="I20" s="73">
        <f t="shared" si="0"/>
        <v>0</v>
      </c>
      <c r="J20" s="98" t="e">
        <f t="shared" si="2"/>
        <v>#DIV/0!</v>
      </c>
      <c r="Q20" s="2"/>
      <c r="R20" s="65"/>
      <c r="S20" s="64"/>
    </row>
    <row r="21" spans="1:19" ht="48.75" customHeight="1">
      <c r="A21" s="20"/>
      <c r="B21" s="175" t="s">
        <v>270</v>
      </c>
      <c r="C21" s="11" t="s">
        <v>37</v>
      </c>
      <c r="D21" s="143" t="s">
        <v>254</v>
      </c>
      <c r="E21" s="46" t="s">
        <v>265</v>
      </c>
      <c r="F21" s="57">
        <f>448000+34000+142000</f>
        <v>624000</v>
      </c>
      <c r="G21" s="73"/>
      <c r="H21" s="73"/>
      <c r="I21" s="57">
        <f t="shared" si="0"/>
        <v>0</v>
      </c>
      <c r="J21" s="98">
        <f t="shared" si="2"/>
        <v>0</v>
      </c>
      <c r="Q21" s="2"/>
      <c r="R21" s="65"/>
      <c r="S21" s="64"/>
    </row>
    <row r="22" spans="1:19" ht="55.5" customHeight="1" hidden="1">
      <c r="A22" s="20"/>
      <c r="B22" s="178" t="s">
        <v>271</v>
      </c>
      <c r="C22" s="11" t="s">
        <v>37</v>
      </c>
      <c r="D22" s="143" t="s">
        <v>254</v>
      </c>
      <c r="E22" s="46" t="s">
        <v>261</v>
      </c>
      <c r="F22" s="57">
        <f>34000-34000</f>
        <v>0</v>
      </c>
      <c r="G22" s="73"/>
      <c r="H22" s="73"/>
      <c r="I22" s="57">
        <f t="shared" si="0"/>
        <v>0</v>
      </c>
      <c r="J22" s="98" t="e">
        <f t="shared" si="2"/>
        <v>#DIV/0!</v>
      </c>
      <c r="Q22" s="2"/>
      <c r="R22" s="150"/>
      <c r="S22" s="64"/>
    </row>
    <row r="23" spans="1:19" ht="56.25" customHeight="1" hidden="1">
      <c r="A23" s="20"/>
      <c r="B23" s="178" t="s">
        <v>272</v>
      </c>
      <c r="C23" s="11" t="s">
        <v>37</v>
      </c>
      <c r="D23" s="143" t="s">
        <v>254</v>
      </c>
      <c r="E23" s="46" t="s">
        <v>262</v>
      </c>
      <c r="F23" s="57">
        <f>142000-142000</f>
        <v>0</v>
      </c>
      <c r="G23" s="73"/>
      <c r="H23" s="73"/>
      <c r="I23" s="57">
        <f t="shared" si="0"/>
        <v>0</v>
      </c>
      <c r="J23" s="98" t="e">
        <f t="shared" si="2"/>
        <v>#DIV/0!</v>
      </c>
      <c r="Q23" s="2"/>
      <c r="R23" s="65"/>
      <c r="S23" s="64"/>
    </row>
    <row r="24" spans="1:19" ht="50.25" customHeight="1">
      <c r="A24" s="20"/>
      <c r="B24" s="145" t="s">
        <v>273</v>
      </c>
      <c r="C24" s="11" t="s">
        <v>38</v>
      </c>
      <c r="D24" s="143" t="s">
        <v>255</v>
      </c>
      <c r="E24" s="46" t="s">
        <v>263</v>
      </c>
      <c r="F24" s="57">
        <f>20000+6000</f>
        <v>26000</v>
      </c>
      <c r="G24" s="73"/>
      <c r="H24" s="73"/>
      <c r="I24" s="114">
        <f t="shared" si="0"/>
        <v>0</v>
      </c>
      <c r="J24" s="98">
        <f t="shared" si="2"/>
        <v>0</v>
      </c>
      <c r="Q24" s="2"/>
      <c r="R24" s="65"/>
      <c r="S24" s="64"/>
    </row>
    <row r="25" spans="1:19" ht="56.25" customHeight="1" hidden="1">
      <c r="A25" s="20"/>
      <c r="B25" s="178" t="s">
        <v>269</v>
      </c>
      <c r="C25" s="11" t="s">
        <v>38</v>
      </c>
      <c r="D25" s="143" t="s">
        <v>255</v>
      </c>
      <c r="E25" s="46" t="s">
        <v>264</v>
      </c>
      <c r="F25" s="57">
        <f>6000-6000</f>
        <v>0</v>
      </c>
      <c r="G25" s="73"/>
      <c r="H25" s="73"/>
      <c r="I25" s="73">
        <f t="shared" si="0"/>
        <v>0</v>
      </c>
      <c r="J25" s="98" t="e">
        <f t="shared" si="2"/>
        <v>#DIV/0!</v>
      </c>
      <c r="Q25" s="2"/>
      <c r="R25" s="65"/>
      <c r="S25" s="64"/>
    </row>
    <row r="26" spans="1:19" ht="0.75" customHeight="1" hidden="1">
      <c r="A26" s="20"/>
      <c r="B26" s="127" t="s">
        <v>214</v>
      </c>
      <c r="C26" s="41" t="s">
        <v>89</v>
      </c>
      <c r="D26" s="156" t="s">
        <v>102</v>
      </c>
      <c r="E26" s="130" t="s">
        <v>221</v>
      </c>
      <c r="F26" s="74"/>
      <c r="G26" s="73"/>
      <c r="H26" s="73"/>
      <c r="I26" s="73">
        <f t="shared" si="0"/>
        <v>0</v>
      </c>
      <c r="J26" s="98" t="e">
        <f t="shared" si="2"/>
        <v>#DIV/0!</v>
      </c>
      <c r="Q26" s="2"/>
      <c r="R26" s="65"/>
      <c r="S26" s="64"/>
    </row>
    <row r="27" spans="1:19" ht="39" customHeight="1" hidden="1">
      <c r="A27" s="20"/>
      <c r="B27" s="141" t="s">
        <v>226</v>
      </c>
      <c r="C27" s="11" t="s">
        <v>40</v>
      </c>
      <c r="D27" s="155" t="s">
        <v>102</v>
      </c>
      <c r="E27" s="140" t="s">
        <v>224</v>
      </c>
      <c r="F27" s="73"/>
      <c r="G27" s="73"/>
      <c r="H27" s="73"/>
      <c r="I27" s="73">
        <f t="shared" si="0"/>
        <v>0</v>
      </c>
      <c r="J27" s="98" t="e">
        <f t="shared" si="2"/>
        <v>#DIV/0!</v>
      </c>
      <c r="Q27" s="2"/>
      <c r="S27" s="64"/>
    </row>
    <row r="28" spans="1:19" ht="35.25" customHeight="1" hidden="1">
      <c r="A28" s="20"/>
      <c r="B28" s="127" t="s">
        <v>216</v>
      </c>
      <c r="C28" s="11" t="s">
        <v>40</v>
      </c>
      <c r="D28" s="155" t="s">
        <v>215</v>
      </c>
      <c r="E28" s="140" t="s">
        <v>220</v>
      </c>
      <c r="F28" s="73"/>
      <c r="G28" s="73"/>
      <c r="H28" s="73"/>
      <c r="I28" s="73">
        <f t="shared" si="0"/>
        <v>0</v>
      </c>
      <c r="J28" s="98" t="e">
        <f t="shared" si="2"/>
        <v>#DIV/0!</v>
      </c>
      <c r="Q28" s="2"/>
      <c r="S28" s="64"/>
    </row>
    <row r="29" spans="1:19" ht="33" customHeight="1" hidden="1">
      <c r="A29" s="20"/>
      <c r="B29" s="142" t="s">
        <v>227</v>
      </c>
      <c r="C29" s="11" t="s">
        <v>40</v>
      </c>
      <c r="D29" s="155" t="s">
        <v>215</v>
      </c>
      <c r="E29" s="140" t="s">
        <v>225</v>
      </c>
      <c r="F29" s="73"/>
      <c r="G29" s="73"/>
      <c r="H29" s="73"/>
      <c r="I29" s="73">
        <f t="shared" si="0"/>
        <v>0</v>
      </c>
      <c r="J29" s="98" t="e">
        <f t="shared" si="2"/>
        <v>#DIV/0!</v>
      </c>
      <c r="Q29" s="2"/>
      <c r="S29" s="64"/>
    </row>
    <row r="30" spans="1:19" ht="39" customHeight="1" hidden="1">
      <c r="A30" s="20"/>
      <c r="B30" s="169" t="s">
        <v>249</v>
      </c>
      <c r="C30" s="11"/>
      <c r="D30" s="155"/>
      <c r="E30" s="170" t="s">
        <v>250</v>
      </c>
      <c r="F30" s="57">
        <f>50400-50400</f>
        <v>0</v>
      </c>
      <c r="G30" s="73"/>
      <c r="H30" s="73"/>
      <c r="I30" s="73">
        <f t="shared" si="0"/>
        <v>0</v>
      </c>
      <c r="J30" s="98"/>
      <c r="Q30" s="2"/>
      <c r="S30" s="64"/>
    </row>
    <row r="31" spans="1:19" ht="30.75" customHeight="1" hidden="1">
      <c r="A31" s="20"/>
      <c r="B31" s="169" t="s">
        <v>251</v>
      </c>
      <c r="C31" s="11"/>
      <c r="D31" s="155"/>
      <c r="E31" s="170" t="s">
        <v>252</v>
      </c>
      <c r="F31" s="57">
        <f>945700-945700</f>
        <v>0</v>
      </c>
      <c r="G31" s="73"/>
      <c r="H31" s="73"/>
      <c r="I31" s="73">
        <f t="shared" si="0"/>
        <v>0</v>
      </c>
      <c r="J31" s="98"/>
      <c r="Q31" s="2"/>
      <c r="S31" s="64"/>
    </row>
    <row r="32" spans="1:19" ht="84" customHeight="1">
      <c r="A32" s="20"/>
      <c r="B32" s="191" t="s">
        <v>286</v>
      </c>
      <c r="C32" s="11" t="s">
        <v>138</v>
      </c>
      <c r="D32" s="168" t="s">
        <v>2</v>
      </c>
      <c r="E32" s="58" t="s">
        <v>267</v>
      </c>
      <c r="F32" s="57">
        <f>8736000-5208400</f>
        <v>3527600</v>
      </c>
      <c r="G32" s="57">
        <f>624000</f>
        <v>624000</v>
      </c>
      <c r="H32" s="57">
        <v>624000</v>
      </c>
      <c r="I32" s="114">
        <f t="shared" si="0"/>
        <v>0</v>
      </c>
      <c r="J32" s="98">
        <f aca="true" t="shared" si="3" ref="J32:J73">G32/F32*100</f>
        <v>17.689080394602563</v>
      </c>
      <c r="Q32" s="2"/>
      <c r="R32" s="148"/>
      <c r="S32" s="64"/>
    </row>
    <row r="33" spans="1:19" ht="24" customHeight="1">
      <c r="A33" s="20"/>
      <c r="B33" s="76" t="s">
        <v>203</v>
      </c>
      <c r="C33" s="11" t="s">
        <v>138</v>
      </c>
      <c r="D33" s="168" t="s">
        <v>2</v>
      </c>
      <c r="E33" s="58" t="s">
        <v>210</v>
      </c>
      <c r="F33" s="57">
        <f>43700-26100</f>
        <v>17600</v>
      </c>
      <c r="G33" s="57">
        <f>3120</f>
        <v>3120</v>
      </c>
      <c r="H33" s="57">
        <v>3120</v>
      </c>
      <c r="I33" s="114">
        <f t="shared" si="0"/>
        <v>0</v>
      </c>
      <c r="J33" s="98">
        <f t="shared" si="3"/>
        <v>17.727272727272727</v>
      </c>
      <c r="Q33" s="2"/>
      <c r="R33" s="148"/>
      <c r="S33" s="64"/>
    </row>
    <row r="34" spans="1:17" ht="27" customHeight="1">
      <c r="A34" s="20"/>
      <c r="B34" s="201" t="s">
        <v>88</v>
      </c>
      <c r="C34" s="11"/>
      <c r="D34" s="163" t="s">
        <v>242</v>
      </c>
      <c r="E34" s="46" t="s">
        <v>179</v>
      </c>
      <c r="F34" s="63">
        <f>F35+F36+F37</f>
        <v>430000</v>
      </c>
      <c r="G34" s="63">
        <f>G35+G36+G37</f>
        <v>243036</v>
      </c>
      <c r="H34" s="63">
        <f>H35+H36+H37</f>
        <v>243036</v>
      </c>
      <c r="I34" s="63">
        <f>I35+I36+I37</f>
        <v>0</v>
      </c>
      <c r="J34" s="98">
        <f t="shared" si="3"/>
        <v>56.52</v>
      </c>
      <c r="Q34" s="2"/>
    </row>
    <row r="35" spans="1:19" ht="16.5" customHeight="1">
      <c r="A35" s="20"/>
      <c r="B35" s="202"/>
      <c r="C35" s="33" t="s">
        <v>46</v>
      </c>
      <c r="D35" s="155"/>
      <c r="E35" s="46" t="s">
        <v>47</v>
      </c>
      <c r="F35" s="57">
        <v>248800</v>
      </c>
      <c r="G35" s="57">
        <f>20724+20096+19468+19468+19468+18212+20096</f>
        <v>137532</v>
      </c>
      <c r="H35" s="67">
        <v>137532</v>
      </c>
      <c r="I35" s="57">
        <f aca="true" t="shared" si="4" ref="I35:I43">G35-H35</f>
        <v>0</v>
      </c>
      <c r="J35" s="98">
        <f t="shared" si="3"/>
        <v>55.27813504823151</v>
      </c>
      <c r="Q35" s="2"/>
      <c r="R35" s="148"/>
      <c r="S35" s="64"/>
    </row>
    <row r="36" spans="1:19" ht="16.5" customHeight="1">
      <c r="A36" s="20"/>
      <c r="B36" s="202"/>
      <c r="C36" s="33" t="s">
        <v>48</v>
      </c>
      <c r="D36" s="155"/>
      <c r="E36" s="46" t="s">
        <v>49</v>
      </c>
      <c r="F36" s="57">
        <f>22600+100</f>
        <v>22700</v>
      </c>
      <c r="G36" s="57">
        <f>1900+1868+1884+1884+1884+1884+1884</f>
        <v>13188</v>
      </c>
      <c r="H36" s="67">
        <v>13188</v>
      </c>
      <c r="I36" s="57">
        <f t="shared" si="4"/>
        <v>0</v>
      </c>
      <c r="J36" s="98">
        <f t="shared" si="3"/>
        <v>58.096916299559474</v>
      </c>
      <c r="Q36" s="2"/>
      <c r="R36" s="148"/>
      <c r="S36" s="64"/>
    </row>
    <row r="37" spans="1:19" ht="15" customHeight="1">
      <c r="A37" s="20"/>
      <c r="B37" s="202"/>
      <c r="C37" s="33" t="s">
        <v>43</v>
      </c>
      <c r="D37" s="155"/>
      <c r="E37" s="46" t="s">
        <v>50</v>
      </c>
      <c r="F37" s="57">
        <v>158500</v>
      </c>
      <c r="G37" s="57">
        <f>13188+13188+13188+13188+13188+13188+13188</f>
        <v>92316</v>
      </c>
      <c r="H37" s="67">
        <v>92316</v>
      </c>
      <c r="I37" s="57">
        <f t="shared" si="4"/>
        <v>0</v>
      </c>
      <c r="J37" s="98">
        <f t="shared" si="3"/>
        <v>58.24353312302839</v>
      </c>
      <c r="Q37" s="2"/>
      <c r="R37" s="148"/>
      <c r="S37" s="64"/>
    </row>
    <row r="38" spans="1:19" ht="14.25" customHeight="1">
      <c r="A38" s="20"/>
      <c r="B38" s="201" t="s">
        <v>205</v>
      </c>
      <c r="C38" s="11"/>
      <c r="D38" s="163" t="s">
        <v>242</v>
      </c>
      <c r="E38" s="46"/>
      <c r="F38" s="63">
        <f>F39+F40</f>
        <v>7466000</v>
      </c>
      <c r="G38" s="63">
        <f>G39+G40</f>
        <v>6054353.95</v>
      </c>
      <c r="H38" s="63">
        <f>H39+H40</f>
        <v>6053062.140000001</v>
      </c>
      <c r="I38" s="63">
        <f t="shared" si="4"/>
        <v>1291.8099999995902</v>
      </c>
      <c r="J38" s="98">
        <f t="shared" si="3"/>
        <v>81.09233793195821</v>
      </c>
      <c r="Q38" s="2"/>
      <c r="R38" s="65"/>
      <c r="S38" s="64"/>
    </row>
    <row r="39" spans="1:19" ht="16.5" customHeight="1">
      <c r="A39" s="20"/>
      <c r="B39" s="209"/>
      <c r="C39" s="33" t="s">
        <v>52</v>
      </c>
      <c r="D39" s="155"/>
      <c r="E39" s="46" t="s">
        <v>177</v>
      </c>
      <c r="F39" s="57">
        <v>238000</v>
      </c>
      <c r="G39" s="57">
        <f>2400+62800+68640+49400+8800+10060+8720</f>
        <v>210820</v>
      </c>
      <c r="H39" s="57">
        <v>210744.48</v>
      </c>
      <c r="I39" s="57">
        <f t="shared" si="4"/>
        <v>75.51999999998952</v>
      </c>
      <c r="J39" s="98">
        <f t="shared" si="3"/>
        <v>88.57983193277312</v>
      </c>
      <c r="Q39" s="2"/>
      <c r="R39" s="148"/>
      <c r="S39" s="64"/>
    </row>
    <row r="40" spans="1:19" ht="57" customHeight="1">
      <c r="A40" s="20"/>
      <c r="B40" s="209"/>
      <c r="C40" s="33" t="s">
        <v>36</v>
      </c>
      <c r="D40" s="155"/>
      <c r="E40" s="46" t="s">
        <v>176</v>
      </c>
      <c r="F40" s="57">
        <v>7228000</v>
      </c>
      <c r="G40" s="57">
        <f>191917.71+287934.24+3007419+1127831+574355+379655+274422</f>
        <v>5843533.95</v>
      </c>
      <c r="H40" s="67">
        <v>5842317.66</v>
      </c>
      <c r="I40" s="57">
        <f t="shared" si="4"/>
        <v>1216.2900000000373</v>
      </c>
      <c r="J40" s="98">
        <f t="shared" si="3"/>
        <v>80.84579344216934</v>
      </c>
      <c r="Q40" s="2"/>
      <c r="R40" s="148"/>
      <c r="S40" s="64"/>
    </row>
    <row r="41" spans="1:19" ht="0.75" customHeight="1">
      <c r="A41" s="20"/>
      <c r="B41" s="32" t="s">
        <v>77</v>
      </c>
      <c r="C41" s="11" t="s">
        <v>37</v>
      </c>
      <c r="D41" s="155" t="s">
        <v>53</v>
      </c>
      <c r="E41" s="46" t="s">
        <v>131</v>
      </c>
      <c r="F41" s="74"/>
      <c r="G41" s="122"/>
      <c r="H41" s="73"/>
      <c r="I41" s="73">
        <f t="shared" si="4"/>
        <v>0</v>
      </c>
      <c r="J41" s="98" t="e">
        <f t="shared" si="3"/>
        <v>#DIV/0!</v>
      </c>
      <c r="Q41" s="2">
        <f>F41-H41</f>
        <v>0</v>
      </c>
      <c r="R41" s="65"/>
      <c r="S41" s="64"/>
    </row>
    <row r="42" spans="1:17" ht="26.25" customHeight="1" hidden="1">
      <c r="A42" s="20"/>
      <c r="B42" s="32" t="s">
        <v>81</v>
      </c>
      <c r="C42" s="11" t="s">
        <v>37</v>
      </c>
      <c r="D42" s="155" t="s">
        <v>53</v>
      </c>
      <c r="E42" s="46" t="s">
        <v>131</v>
      </c>
      <c r="F42" s="73"/>
      <c r="G42" s="73"/>
      <c r="H42" s="73"/>
      <c r="I42" s="73">
        <f t="shared" si="4"/>
        <v>0</v>
      </c>
      <c r="J42" s="98" t="e">
        <f t="shared" si="3"/>
        <v>#DIV/0!</v>
      </c>
      <c r="Q42" s="2">
        <f>F42-H42</f>
        <v>0</v>
      </c>
    </row>
    <row r="43" spans="1:19" ht="48.75" customHeight="1">
      <c r="A43" s="20"/>
      <c r="B43" s="88" t="s">
        <v>9</v>
      </c>
      <c r="C43" s="11" t="s">
        <v>36</v>
      </c>
      <c r="D43" s="163" t="s">
        <v>243</v>
      </c>
      <c r="E43" s="46" t="s">
        <v>168</v>
      </c>
      <c r="F43" s="62">
        <f>1864000-127900</f>
        <v>1736100</v>
      </c>
      <c r="G43" s="62">
        <f>226000+50000+143500+611+270000+48300+161000</f>
        <v>899411</v>
      </c>
      <c r="H43" s="67">
        <v>894306.51</v>
      </c>
      <c r="I43" s="57">
        <f t="shared" si="4"/>
        <v>5104.489999999991</v>
      </c>
      <c r="J43" s="98">
        <f t="shared" si="3"/>
        <v>51.80640516099303</v>
      </c>
      <c r="Q43" s="2"/>
      <c r="R43" s="65"/>
      <c r="S43" s="64"/>
    </row>
    <row r="44" spans="1:19" ht="17.25" customHeight="1">
      <c r="A44" s="20"/>
      <c r="B44" s="216" t="s">
        <v>91</v>
      </c>
      <c r="C44" s="213" t="s">
        <v>36</v>
      </c>
      <c r="D44" s="163" t="s">
        <v>244</v>
      </c>
      <c r="E44" s="46" t="s">
        <v>188</v>
      </c>
      <c r="F44" s="111">
        <f>F45+F46+F47</f>
        <v>8822000</v>
      </c>
      <c r="G44" s="111">
        <f>G45+G46+G47</f>
        <v>4851481</v>
      </c>
      <c r="H44" s="111">
        <f>H45+H46+H47</f>
        <v>4851479.96</v>
      </c>
      <c r="I44" s="111">
        <f>I45+I46+I47</f>
        <v>1.040000000008149</v>
      </c>
      <c r="J44" s="98">
        <f t="shared" si="3"/>
        <v>54.99298345046475</v>
      </c>
      <c r="Q44" s="2"/>
      <c r="R44" s="65"/>
      <c r="S44" s="64"/>
    </row>
    <row r="45" spans="1:19" ht="14.25" customHeight="1">
      <c r="A45" s="20"/>
      <c r="B45" s="216"/>
      <c r="C45" s="214"/>
      <c r="D45" s="198"/>
      <c r="E45" s="39" t="s">
        <v>189</v>
      </c>
      <c r="F45" s="62">
        <f>7785800-140400</f>
        <v>7645400</v>
      </c>
      <c r="G45" s="62">
        <f>278264+255000+434000+216000+470000+172703+460000+202140+566980+203000+1102667+51000</f>
        <v>4411754</v>
      </c>
      <c r="H45" s="62">
        <v>4411754</v>
      </c>
      <c r="I45" s="57">
        <f aca="true" t="shared" si="5" ref="I45:I71">G45-H45</f>
        <v>0</v>
      </c>
      <c r="J45" s="98">
        <f t="shared" si="3"/>
        <v>57.70468517016768</v>
      </c>
      <c r="Q45" s="2"/>
      <c r="R45" s="146"/>
      <c r="S45" s="2"/>
    </row>
    <row r="46" spans="1:19" ht="12.75" customHeight="1">
      <c r="A46" s="20"/>
      <c r="B46" s="216"/>
      <c r="C46" s="214"/>
      <c r="D46" s="198"/>
      <c r="E46" s="39" t="s">
        <v>92</v>
      </c>
      <c r="F46" s="62">
        <f>897000-16200</f>
        <v>880800</v>
      </c>
      <c r="G46" s="62">
        <f>13168+20000+30000+14000+31500+9785+37512+14000+40739+14000+10624+10000</f>
        <v>245328</v>
      </c>
      <c r="H46" s="62">
        <v>245327.33</v>
      </c>
      <c r="I46" s="57">
        <f t="shared" si="5"/>
        <v>0.6700000000128057</v>
      </c>
      <c r="J46" s="98">
        <f t="shared" si="3"/>
        <v>27.852861035422343</v>
      </c>
      <c r="Q46" s="2"/>
      <c r="R46" s="147"/>
      <c r="S46" s="2"/>
    </row>
    <row r="47" spans="1:19" ht="14.25" customHeight="1">
      <c r="A47" s="20"/>
      <c r="B47" s="216"/>
      <c r="C47" s="215"/>
      <c r="D47" s="198"/>
      <c r="E47" s="39" t="s">
        <v>190</v>
      </c>
      <c r="F47" s="62">
        <v>295800</v>
      </c>
      <c r="G47" s="62">
        <f>200+14800+13215+96485+25788+22173+21738</f>
        <v>194399</v>
      </c>
      <c r="H47" s="62">
        <v>194398.63</v>
      </c>
      <c r="I47" s="57">
        <f t="shared" si="5"/>
        <v>0.3699999999953434</v>
      </c>
      <c r="J47" s="98">
        <f t="shared" si="3"/>
        <v>65.71974306964165</v>
      </c>
      <c r="Q47" s="2"/>
      <c r="S47" s="2"/>
    </row>
    <row r="48" spans="1:19" ht="63.75" customHeight="1">
      <c r="A48" s="20"/>
      <c r="B48" s="77" t="s">
        <v>139</v>
      </c>
      <c r="C48" s="11" t="s">
        <v>36</v>
      </c>
      <c r="D48" s="163" t="s">
        <v>244</v>
      </c>
      <c r="E48" s="46" t="s">
        <v>169</v>
      </c>
      <c r="F48" s="57">
        <f>57224000-159000</f>
        <v>57065000</v>
      </c>
      <c r="G48" s="57">
        <f>2920966+1366000+3727000+735770+3476400+924316+3607321+962700+3677900+2641689+5377350+5080600</f>
        <v>34498012</v>
      </c>
      <c r="H48" s="67">
        <v>34498011.15</v>
      </c>
      <c r="I48" s="57">
        <f t="shared" si="5"/>
        <v>0.8500000014901161</v>
      </c>
      <c r="J48" s="98">
        <f t="shared" si="3"/>
        <v>60.453889424340666</v>
      </c>
      <c r="Q48" s="2"/>
      <c r="R48" s="149"/>
      <c r="S48" s="136"/>
    </row>
    <row r="49" spans="1:19" ht="66.75" customHeight="1">
      <c r="A49" s="20"/>
      <c r="B49" s="77" t="s">
        <v>4</v>
      </c>
      <c r="C49" s="11" t="s">
        <v>36</v>
      </c>
      <c r="D49" s="163" t="s">
        <v>244</v>
      </c>
      <c r="E49" s="46" t="s">
        <v>170</v>
      </c>
      <c r="F49" s="57">
        <v>18480000</v>
      </c>
      <c r="G49" s="57">
        <f>978998+569000+1185154+420321+1181836+242414+1262000+335200+1233600+421592+1462600+1115300</f>
        <v>10408015</v>
      </c>
      <c r="H49" s="67">
        <v>10408012.62</v>
      </c>
      <c r="I49" s="57">
        <f t="shared" si="5"/>
        <v>2.380000000819564</v>
      </c>
      <c r="J49" s="98">
        <f t="shared" si="3"/>
        <v>56.32042748917749</v>
      </c>
      <c r="Q49" s="2"/>
      <c r="R49" s="121"/>
      <c r="S49" s="136"/>
    </row>
    <row r="50" spans="1:19" ht="65.25" customHeight="1">
      <c r="A50" s="20"/>
      <c r="B50" s="77" t="s">
        <v>140</v>
      </c>
      <c r="C50" s="11" t="s">
        <v>36</v>
      </c>
      <c r="D50" s="163" t="s">
        <v>244</v>
      </c>
      <c r="E50" s="46" t="s">
        <v>171</v>
      </c>
      <c r="F50" s="57">
        <f>1814000-3000</f>
        <v>1811000</v>
      </c>
      <c r="G50" s="57">
        <f>103320+17762+25400+13010+108196+64923+51338+83206+90685+40600+38600+24225</f>
        <v>661265</v>
      </c>
      <c r="H50" s="67">
        <v>661264.29</v>
      </c>
      <c r="I50" s="57">
        <f t="shared" si="5"/>
        <v>0.7099999999627471</v>
      </c>
      <c r="J50" s="98">
        <f t="shared" si="3"/>
        <v>36.51380452788515</v>
      </c>
      <c r="Q50" s="2"/>
      <c r="R50" s="121"/>
      <c r="S50" s="136"/>
    </row>
    <row r="51" spans="1:19" ht="66" customHeight="1">
      <c r="A51" s="20"/>
      <c r="B51" s="77" t="s">
        <v>5</v>
      </c>
      <c r="C51" s="11" t="s">
        <v>36</v>
      </c>
      <c r="D51" s="163" t="s">
        <v>244</v>
      </c>
      <c r="E51" s="46" t="s">
        <v>172</v>
      </c>
      <c r="F51" s="57">
        <f>1872000-114000</f>
        <v>1758000</v>
      </c>
      <c r="G51" s="57">
        <f>689+2658+141312+135307+5440+159431+181101+61750+259466+55750</f>
        <v>1002904</v>
      </c>
      <c r="H51" s="67">
        <v>1002902.97</v>
      </c>
      <c r="I51" s="57">
        <f t="shared" si="5"/>
        <v>1.0300000000279397</v>
      </c>
      <c r="J51" s="98">
        <f t="shared" si="3"/>
        <v>57.04800910125142</v>
      </c>
      <c r="Q51" s="2"/>
      <c r="R51" s="65"/>
      <c r="S51" s="64"/>
    </row>
    <row r="52" spans="1:19" ht="77.25" customHeight="1">
      <c r="A52" s="20"/>
      <c r="B52" s="77" t="s">
        <v>6</v>
      </c>
      <c r="C52" s="11" t="s">
        <v>36</v>
      </c>
      <c r="D52" s="163" t="s">
        <v>244</v>
      </c>
      <c r="E52" s="46" t="s">
        <v>173</v>
      </c>
      <c r="F52" s="57">
        <v>1160000</v>
      </c>
      <c r="G52" s="57">
        <f>93784+94373+90910+370+94710+91618+42938+140818+57732</f>
        <v>707253</v>
      </c>
      <c r="H52" s="67">
        <v>707204.16</v>
      </c>
      <c r="I52" s="57">
        <f t="shared" si="5"/>
        <v>48.839999999967404</v>
      </c>
      <c r="J52" s="98">
        <f t="shared" si="3"/>
        <v>60.97008620689655</v>
      </c>
      <c r="Q52" s="2"/>
      <c r="R52" s="148"/>
      <c r="S52" s="64"/>
    </row>
    <row r="53" spans="1:19" ht="75.75" customHeight="1" hidden="1">
      <c r="A53" s="20"/>
      <c r="B53" s="77" t="s">
        <v>198</v>
      </c>
      <c r="C53" s="11" t="s">
        <v>54</v>
      </c>
      <c r="D53" s="155" t="s">
        <v>102</v>
      </c>
      <c r="E53" s="46" t="s">
        <v>93</v>
      </c>
      <c r="F53" s="73"/>
      <c r="G53" s="73"/>
      <c r="H53" s="108"/>
      <c r="I53" s="73">
        <f t="shared" si="5"/>
        <v>0</v>
      </c>
      <c r="J53" s="98" t="e">
        <f t="shared" si="3"/>
        <v>#DIV/0!</v>
      </c>
      <c r="Q53" s="2"/>
      <c r="R53" s="65"/>
      <c r="S53" s="64"/>
    </row>
    <row r="54" spans="1:19" ht="39" customHeight="1">
      <c r="A54" s="20"/>
      <c r="B54" s="34" t="s">
        <v>78</v>
      </c>
      <c r="C54" s="11" t="s">
        <v>36</v>
      </c>
      <c r="D54" s="163" t="s">
        <v>245</v>
      </c>
      <c r="E54" s="46" t="s">
        <v>175</v>
      </c>
      <c r="F54" s="62">
        <v>1886000</v>
      </c>
      <c r="G54" s="62">
        <f>157823+173963+142292+156400+181925+167200</f>
        <v>979603</v>
      </c>
      <c r="H54" s="67">
        <v>979602.35</v>
      </c>
      <c r="I54" s="57">
        <f t="shared" si="5"/>
        <v>0.6500000000232831</v>
      </c>
      <c r="J54" s="98">
        <f t="shared" si="3"/>
        <v>51.94077412513256</v>
      </c>
      <c r="Q54" s="2"/>
      <c r="R54" s="65"/>
      <c r="S54" s="64"/>
    </row>
    <row r="55" spans="1:19" ht="25.5" customHeight="1">
      <c r="A55" s="20"/>
      <c r="B55" s="217" t="s">
        <v>143</v>
      </c>
      <c r="C55" s="210" t="s">
        <v>36</v>
      </c>
      <c r="D55" s="163" t="s">
        <v>245</v>
      </c>
      <c r="E55" s="46" t="s">
        <v>174</v>
      </c>
      <c r="F55" s="112">
        <f>F56+F57</f>
        <v>3699000</v>
      </c>
      <c r="G55" s="112">
        <f>G56+G57</f>
        <v>1912030.9999999998</v>
      </c>
      <c r="H55" s="112">
        <f>H56+H57</f>
        <v>1912027.79</v>
      </c>
      <c r="I55" s="63">
        <f t="shared" si="5"/>
        <v>3.2099999997299165</v>
      </c>
      <c r="J55" s="98">
        <f t="shared" si="3"/>
        <v>51.690483914571494</v>
      </c>
      <c r="Q55" s="2"/>
      <c r="R55" s="65"/>
      <c r="S55" s="64"/>
    </row>
    <row r="56" spans="1:18" ht="12" customHeight="1">
      <c r="A56" s="20"/>
      <c r="B56" s="218"/>
      <c r="C56" s="211"/>
      <c r="D56" s="5" t="s">
        <v>114</v>
      </c>
      <c r="E56" s="46" t="s">
        <v>135</v>
      </c>
      <c r="F56" s="62">
        <v>3272500</v>
      </c>
      <c r="G56" s="62">
        <f>264732.35+292095.88-26328.12+266426.49-1175.53+286793.56+291548.94+9386+297368.94</f>
        <v>1680848.5099999998</v>
      </c>
      <c r="H56" s="62">
        <v>1680845.3</v>
      </c>
      <c r="I56" s="57">
        <f t="shared" si="5"/>
        <v>3.2099999997299165</v>
      </c>
      <c r="J56" s="98">
        <f t="shared" si="3"/>
        <v>51.362826890756295</v>
      </c>
      <c r="Q56" s="2"/>
      <c r="R56" s="148"/>
    </row>
    <row r="57" spans="1:18" ht="12.75" customHeight="1">
      <c r="A57" s="20"/>
      <c r="B57" s="219"/>
      <c r="C57" s="212"/>
      <c r="D57" s="5" t="s">
        <v>115</v>
      </c>
      <c r="E57" s="46" t="s">
        <v>136</v>
      </c>
      <c r="F57" s="62">
        <v>426500</v>
      </c>
      <c r="G57" s="62">
        <f>35027.65+28022.12+26328.12+85760.51+1175.53+26846.44+14011.06+14011.06</f>
        <v>231182.49</v>
      </c>
      <c r="H57" s="62">
        <v>231182.49</v>
      </c>
      <c r="I57" s="57">
        <f t="shared" si="5"/>
        <v>0</v>
      </c>
      <c r="J57" s="98">
        <f t="shared" si="3"/>
        <v>54.204569753810084</v>
      </c>
      <c r="Q57" s="2"/>
      <c r="R57" s="148"/>
    </row>
    <row r="58" spans="1:17" ht="25.5" customHeight="1">
      <c r="A58" s="20"/>
      <c r="B58" s="34" t="s">
        <v>79</v>
      </c>
      <c r="C58" s="11" t="s">
        <v>118</v>
      </c>
      <c r="D58" s="163" t="s">
        <v>242</v>
      </c>
      <c r="E58" s="46" t="s">
        <v>183</v>
      </c>
      <c r="F58" s="57">
        <v>1926000</v>
      </c>
      <c r="G58" s="57">
        <f>160500+160500+160500+160500+160500+160500</f>
        <v>963000</v>
      </c>
      <c r="H58" s="57">
        <v>963000</v>
      </c>
      <c r="I58" s="57">
        <f t="shared" si="5"/>
        <v>0</v>
      </c>
      <c r="J58" s="98">
        <f t="shared" si="3"/>
        <v>50</v>
      </c>
      <c r="Q58" s="2"/>
    </row>
    <row r="59" spans="1:17" ht="55.5" customHeight="1">
      <c r="A59" s="20"/>
      <c r="B59" s="86" t="s">
        <v>212</v>
      </c>
      <c r="C59" s="11" t="s">
        <v>37</v>
      </c>
      <c r="D59" s="163" t="s">
        <v>242</v>
      </c>
      <c r="E59" s="46" t="s">
        <v>182</v>
      </c>
      <c r="F59" s="57">
        <v>477000</v>
      </c>
      <c r="G59" s="57">
        <f>7100+25200+12000+27000+5000+30000+10000+33000+10000+33000</f>
        <v>192300</v>
      </c>
      <c r="H59" s="67">
        <v>192300</v>
      </c>
      <c r="I59" s="57">
        <f t="shared" si="5"/>
        <v>0</v>
      </c>
      <c r="J59" s="98">
        <f t="shared" si="3"/>
        <v>40.314465408805034</v>
      </c>
      <c r="Q59" s="2"/>
    </row>
    <row r="60" spans="1:17" ht="41.25" customHeight="1">
      <c r="A60" s="20"/>
      <c r="B60" s="86" t="s">
        <v>147</v>
      </c>
      <c r="C60" s="11" t="s">
        <v>37</v>
      </c>
      <c r="D60" s="143" t="s">
        <v>242</v>
      </c>
      <c r="E60" s="46" t="s">
        <v>268</v>
      </c>
      <c r="F60" s="57">
        <v>1045000</v>
      </c>
      <c r="G60" s="57">
        <f>72000+38000+2000+54000+22600+65400+55100+40000+26000+63000+26000</f>
        <v>464100</v>
      </c>
      <c r="H60" s="67">
        <v>464100</v>
      </c>
      <c r="I60" s="57">
        <f t="shared" si="5"/>
        <v>0</v>
      </c>
      <c r="J60" s="98">
        <f t="shared" si="3"/>
        <v>44.41148325358852</v>
      </c>
      <c r="Q60" s="2"/>
    </row>
    <row r="61" spans="1:17" ht="57" customHeight="1">
      <c r="A61" s="20"/>
      <c r="B61" s="175" t="s">
        <v>0</v>
      </c>
      <c r="C61" s="11" t="s">
        <v>37</v>
      </c>
      <c r="D61" s="143" t="s">
        <v>242</v>
      </c>
      <c r="E61" s="46" t="s">
        <v>191</v>
      </c>
      <c r="F61" s="57">
        <v>77100</v>
      </c>
      <c r="G61" s="57">
        <f>31800+26000+6000+2250</f>
        <v>66050</v>
      </c>
      <c r="H61" s="57">
        <v>65998.5</v>
      </c>
      <c r="I61" s="57">
        <f t="shared" si="5"/>
        <v>51.5</v>
      </c>
      <c r="J61" s="98">
        <f t="shared" si="3"/>
        <v>85.66796368352789</v>
      </c>
      <c r="Q61" s="2"/>
    </row>
    <row r="62" spans="1:17" ht="30.75" customHeight="1">
      <c r="A62" s="20"/>
      <c r="B62" s="201" t="s">
        <v>113</v>
      </c>
      <c r="C62" s="11"/>
      <c r="D62" s="143" t="s">
        <v>242</v>
      </c>
      <c r="E62" s="46" t="s">
        <v>90</v>
      </c>
      <c r="F62" s="63">
        <f>F63+F64</f>
        <v>2700</v>
      </c>
      <c r="G62" s="63">
        <f>G63+G64</f>
        <v>1000</v>
      </c>
      <c r="H62" s="63">
        <f>H63+H64</f>
        <v>1000</v>
      </c>
      <c r="I62" s="63">
        <f t="shared" si="5"/>
        <v>0</v>
      </c>
      <c r="J62" s="98">
        <f t="shared" si="3"/>
        <v>37.03703703703704</v>
      </c>
      <c r="Q62" s="2"/>
    </row>
    <row r="63" spans="1:17" ht="12.75" customHeight="1">
      <c r="A63" s="20"/>
      <c r="B63" s="209"/>
      <c r="C63" s="38" t="s">
        <v>89</v>
      </c>
      <c r="D63" s="158"/>
      <c r="E63" s="46" t="s">
        <v>181</v>
      </c>
      <c r="F63" s="57">
        <v>700</v>
      </c>
      <c r="G63" s="57"/>
      <c r="H63" s="57"/>
      <c r="I63" s="57">
        <f t="shared" si="5"/>
        <v>0</v>
      </c>
      <c r="J63" s="98">
        <f t="shared" si="3"/>
        <v>0</v>
      </c>
      <c r="Q63" s="2"/>
    </row>
    <row r="64" spans="1:19" ht="13.5" customHeight="1">
      <c r="A64" s="20"/>
      <c r="B64" s="209"/>
      <c r="C64" s="33" t="s">
        <v>55</v>
      </c>
      <c r="D64" s="158"/>
      <c r="E64" s="46" t="s">
        <v>180</v>
      </c>
      <c r="F64" s="57">
        <v>2000</v>
      </c>
      <c r="G64" s="57">
        <f>1000</f>
        <v>1000</v>
      </c>
      <c r="H64" s="57">
        <v>1000</v>
      </c>
      <c r="I64" s="57">
        <f t="shared" si="5"/>
        <v>0</v>
      </c>
      <c r="J64" s="98">
        <f t="shared" si="3"/>
        <v>50</v>
      </c>
      <c r="Q64" s="2"/>
      <c r="R64" s="65"/>
      <c r="S64" s="64"/>
    </row>
    <row r="65" spans="1:19" ht="24.75" customHeight="1">
      <c r="A65" s="20"/>
      <c r="B65" s="34" t="s">
        <v>80</v>
      </c>
      <c r="C65" s="11" t="s">
        <v>36</v>
      </c>
      <c r="D65" s="163" t="s">
        <v>242</v>
      </c>
      <c r="E65" s="46" t="s">
        <v>178</v>
      </c>
      <c r="F65" s="57">
        <v>485000</v>
      </c>
      <c r="G65" s="57">
        <f>11000+21700+6836+10000+8454+10097+26000+16500+35102+22450+1778</f>
        <v>169917</v>
      </c>
      <c r="H65" s="67">
        <v>169917</v>
      </c>
      <c r="I65" s="57">
        <f t="shared" si="5"/>
        <v>0</v>
      </c>
      <c r="J65" s="98">
        <f t="shared" si="3"/>
        <v>35.03443298969072</v>
      </c>
      <c r="Q65" s="2"/>
      <c r="R65" s="65"/>
      <c r="S65" s="64"/>
    </row>
    <row r="66" spans="1:19" ht="41.25" customHeight="1" hidden="1">
      <c r="A66" s="20"/>
      <c r="B66" s="86" t="s">
        <v>149</v>
      </c>
      <c r="C66" s="11" t="s">
        <v>37</v>
      </c>
      <c r="D66" s="155" t="s">
        <v>51</v>
      </c>
      <c r="E66" s="39" t="s">
        <v>148</v>
      </c>
      <c r="F66" s="73"/>
      <c r="G66" s="73"/>
      <c r="H66" s="73"/>
      <c r="I66" s="73">
        <f t="shared" si="5"/>
        <v>0</v>
      </c>
      <c r="J66" s="98" t="e">
        <f t="shared" si="3"/>
        <v>#DIV/0!</v>
      </c>
      <c r="Q66" s="2"/>
      <c r="R66" s="65"/>
      <c r="S66" s="64"/>
    </row>
    <row r="67" spans="1:19" ht="32.25" customHeight="1" hidden="1">
      <c r="A67" s="20"/>
      <c r="B67" s="86" t="s">
        <v>150</v>
      </c>
      <c r="C67" s="11" t="s">
        <v>37</v>
      </c>
      <c r="D67" s="155" t="s">
        <v>51</v>
      </c>
      <c r="E67" s="39" t="s">
        <v>194</v>
      </c>
      <c r="F67" s="73">
        <f>595000-595000</f>
        <v>0</v>
      </c>
      <c r="G67" s="73"/>
      <c r="H67" s="73"/>
      <c r="I67" s="73">
        <f t="shared" si="5"/>
        <v>0</v>
      </c>
      <c r="J67" s="98" t="e">
        <f t="shared" si="3"/>
        <v>#DIV/0!</v>
      </c>
      <c r="Q67" s="2"/>
      <c r="R67" s="65"/>
      <c r="S67" s="64"/>
    </row>
    <row r="68" spans="1:17" ht="62.25" customHeight="1">
      <c r="A68" s="20"/>
      <c r="B68" s="71" t="s">
        <v>206</v>
      </c>
      <c r="C68" s="11" t="s">
        <v>37</v>
      </c>
      <c r="D68" s="143" t="s">
        <v>242</v>
      </c>
      <c r="E68" s="39" t="s">
        <v>193</v>
      </c>
      <c r="F68" s="57">
        <v>257000</v>
      </c>
      <c r="G68" s="57">
        <f>27413.33</f>
        <v>27413.33</v>
      </c>
      <c r="H68" s="57">
        <v>27413.33</v>
      </c>
      <c r="I68" s="57">
        <f t="shared" si="5"/>
        <v>0</v>
      </c>
      <c r="J68" s="98">
        <f t="shared" si="3"/>
        <v>10.666665369649806</v>
      </c>
      <c r="Q68" s="2"/>
    </row>
    <row r="69" spans="1:17" ht="40.5" customHeight="1" hidden="1">
      <c r="A69" s="20"/>
      <c r="B69" s="71" t="s">
        <v>133</v>
      </c>
      <c r="C69" s="11" t="s">
        <v>37</v>
      </c>
      <c r="D69" s="155" t="s">
        <v>51</v>
      </c>
      <c r="E69" s="39" t="s">
        <v>132</v>
      </c>
      <c r="F69" s="73"/>
      <c r="G69" s="73"/>
      <c r="H69" s="73"/>
      <c r="I69" s="73">
        <f t="shared" si="5"/>
        <v>0</v>
      </c>
      <c r="J69" s="98" t="e">
        <f t="shared" si="3"/>
        <v>#DIV/0!</v>
      </c>
      <c r="Q69" s="2"/>
    </row>
    <row r="70" spans="1:17" ht="30" customHeight="1" hidden="1">
      <c r="A70" s="20"/>
      <c r="B70" s="120" t="s">
        <v>192</v>
      </c>
      <c r="C70" s="11" t="s">
        <v>40</v>
      </c>
      <c r="D70" s="155" t="s">
        <v>202</v>
      </c>
      <c r="E70" s="119" t="s">
        <v>197</v>
      </c>
      <c r="F70" s="73"/>
      <c r="G70" s="73"/>
      <c r="H70" s="73"/>
      <c r="I70" s="73">
        <f t="shared" si="5"/>
        <v>0</v>
      </c>
      <c r="J70" s="98" t="e">
        <f t="shared" si="3"/>
        <v>#DIV/0!</v>
      </c>
      <c r="Q70" s="2"/>
    </row>
    <row r="71" spans="1:17" ht="51" customHeight="1" hidden="1">
      <c r="A71" s="20"/>
      <c r="B71" s="120" t="s">
        <v>207</v>
      </c>
      <c r="C71" s="11" t="s">
        <v>40</v>
      </c>
      <c r="D71" s="155" t="s">
        <v>51</v>
      </c>
      <c r="E71" s="119" t="s">
        <v>7</v>
      </c>
      <c r="F71" s="73"/>
      <c r="G71" s="73"/>
      <c r="H71" s="73"/>
      <c r="I71" s="73">
        <f t="shared" si="5"/>
        <v>0</v>
      </c>
      <c r="J71" s="98" t="e">
        <f t="shared" si="3"/>
        <v>#DIV/0!</v>
      </c>
      <c r="Q71" s="2"/>
    </row>
    <row r="72" spans="1:18" ht="19.5" customHeight="1">
      <c r="A72" s="78"/>
      <c r="B72" s="79" t="s">
        <v>144</v>
      </c>
      <c r="C72" s="96"/>
      <c r="D72" s="159"/>
      <c r="E72" s="80"/>
      <c r="F72" s="174">
        <f>F4+F17+F18+F19+F20+F21+F22+F23+F24+F25+F26+F27+F28+F29+F30+F31+F32+F33+F34+F38+F41+F42+F43+F44+F48+F49+F50+F51+F52+F53+F54+F55+F58+F59+F60+F61+F62+F65+F66+F67+F68+F69+F70+F71</f>
        <v>116426920</v>
      </c>
      <c r="G72" s="174">
        <f>G4+G17+G18+G19+G20+G21+G22+G23+G24+G25+G26+G27+G28+G29+G30+G31+G32+G33+G34+G38+G41+G42+G43+G44+G48+G49+G50+G51+G52+G53+G54+G55+G58+G59+G60+G61+G62+G65+G66+G67+G68+G69+G70+G71</f>
        <v>67070531.28</v>
      </c>
      <c r="H72" s="174">
        <f>H4+H17+H18+H19+H20+H21+H22+H23+H24+H25+H26+H27+H28+H29+H30+H31+H32+H33+H34+H38+H41+H42+H43+H44+H48+H49+H50+H51+H52+H53+H54+H55+H58+H59+H60+H61+H62+H65+H66+H67+H68+H69+H70+H71</f>
        <v>66963475.50999999</v>
      </c>
      <c r="I72" s="174">
        <f>I4+I17+I18+I19+I20+I21+I22+I23+I24+I25+I26+I27+I28+I29+I30+I31+I32+I33+I34+I38+I41+I42+I43+I44+I48+I49+I50+I51+I52+I53+I54+I55+I58+I59+I60+I61+I62+I65+I66+I67+I68+I69+I70+I71</f>
        <v>107055.77000000162</v>
      </c>
      <c r="J72" s="106">
        <f t="shared" si="3"/>
        <v>57.60740838974354</v>
      </c>
      <c r="Q72" s="2"/>
      <c r="R72" s="65"/>
    </row>
    <row r="73" spans="1:18" ht="29.25" customHeight="1">
      <c r="A73" s="128"/>
      <c r="B73" s="194" t="s">
        <v>232</v>
      </c>
      <c r="C73" s="131"/>
      <c r="D73" s="168" t="s">
        <v>3</v>
      </c>
      <c r="E73" s="132" t="s">
        <v>281</v>
      </c>
      <c r="F73" s="116">
        <f>F74+F75+F76+F77+F78</f>
        <v>3803068</v>
      </c>
      <c r="G73" s="116">
        <f>G74+G75+G76+G77+G78</f>
        <v>2177430.98</v>
      </c>
      <c r="H73" s="116">
        <f>H74+H75+H76+H77+H78</f>
        <v>2177430.98</v>
      </c>
      <c r="I73" s="116">
        <f>I74+I75+I76+I77+I78</f>
        <v>0</v>
      </c>
      <c r="J73" s="98">
        <f t="shared" si="3"/>
        <v>57.2545897154613</v>
      </c>
      <c r="Q73" s="2"/>
      <c r="R73" s="65"/>
    </row>
    <row r="74" spans="1:18" ht="19.5" customHeight="1">
      <c r="A74" s="128"/>
      <c r="B74" s="195"/>
      <c r="C74" s="134" t="s">
        <v>23</v>
      </c>
      <c r="D74" s="153"/>
      <c r="E74" s="132"/>
      <c r="F74" s="129">
        <v>347626</v>
      </c>
      <c r="G74" s="129">
        <v>347626</v>
      </c>
      <c r="H74" s="116">
        <v>347626</v>
      </c>
      <c r="I74" s="114">
        <f aca="true" t="shared" si="6" ref="I74:I102">G74-H74</f>
        <v>0</v>
      </c>
      <c r="J74" s="133"/>
      <c r="Q74" s="2"/>
      <c r="R74" s="65"/>
    </row>
    <row r="75" spans="1:18" ht="19.5" customHeight="1">
      <c r="A75" s="128"/>
      <c r="B75" s="195"/>
      <c r="C75" s="134" t="s">
        <v>25</v>
      </c>
      <c r="D75" s="153"/>
      <c r="E75" s="132"/>
      <c r="F75" s="129">
        <f>127033+520900</f>
        <v>647933</v>
      </c>
      <c r="G75" s="129">
        <v>127032.08</v>
      </c>
      <c r="H75" s="116">
        <v>127032.08</v>
      </c>
      <c r="I75" s="114">
        <f t="shared" si="6"/>
        <v>0</v>
      </c>
      <c r="J75" s="133"/>
      <c r="Q75" s="2"/>
      <c r="R75" s="65"/>
    </row>
    <row r="76" spans="1:18" ht="19.5" customHeight="1">
      <c r="A76" s="128"/>
      <c r="B76" s="195"/>
      <c r="C76" s="134" t="s">
        <v>26</v>
      </c>
      <c r="D76" s="153"/>
      <c r="E76" s="132"/>
      <c r="F76" s="129">
        <v>783935</v>
      </c>
      <c r="G76" s="129">
        <v>783153.9</v>
      </c>
      <c r="H76" s="116">
        <v>783153.9</v>
      </c>
      <c r="I76" s="114">
        <f t="shared" si="6"/>
        <v>0</v>
      </c>
      <c r="J76" s="133"/>
      <c r="Q76" s="2"/>
      <c r="R76" s="65"/>
    </row>
    <row r="77" spans="1:18" ht="36" customHeight="1">
      <c r="A77" s="20"/>
      <c r="B77" s="195"/>
      <c r="C77" s="95" t="s">
        <v>217</v>
      </c>
      <c r="D77" s="154"/>
      <c r="E77" s="58"/>
      <c r="F77" s="57">
        <f>919619+337681</f>
        <v>1257300</v>
      </c>
      <c r="G77" s="57">
        <v>919619</v>
      </c>
      <c r="H77" s="67">
        <v>919619</v>
      </c>
      <c r="I77" s="114">
        <f t="shared" si="6"/>
        <v>0</v>
      </c>
      <c r="J77" s="98">
        <f aca="true" t="shared" si="7" ref="J77:J122">G77/F77*100</f>
        <v>73.14236856756541</v>
      </c>
      <c r="Q77" s="2"/>
      <c r="R77" s="65"/>
    </row>
    <row r="78" spans="1:19" ht="37.5" customHeight="1">
      <c r="A78" s="20"/>
      <c r="B78" s="195"/>
      <c r="C78" s="192" t="s">
        <v>276</v>
      </c>
      <c r="D78" s="181" t="s">
        <v>277</v>
      </c>
      <c r="E78" s="58" t="s">
        <v>275</v>
      </c>
      <c r="F78" s="63">
        <v>766274</v>
      </c>
      <c r="G78" s="63">
        <v>0</v>
      </c>
      <c r="H78" s="63">
        <v>0</v>
      </c>
      <c r="I78" s="117">
        <f t="shared" si="6"/>
        <v>0</v>
      </c>
      <c r="J78" s="98">
        <f t="shared" si="7"/>
        <v>0</v>
      </c>
      <c r="Q78" s="2"/>
      <c r="R78" s="65"/>
      <c r="S78" s="65"/>
    </row>
    <row r="79" spans="1:19" ht="14.25" customHeight="1" hidden="1">
      <c r="A79" s="20"/>
      <c r="B79" s="196"/>
      <c r="C79" s="95"/>
      <c r="D79" s="154"/>
      <c r="E79" s="48"/>
      <c r="F79" s="73"/>
      <c r="G79" s="73"/>
      <c r="H79" s="108"/>
      <c r="I79" s="137">
        <f t="shared" si="6"/>
        <v>0</v>
      </c>
      <c r="J79" s="98" t="e">
        <f t="shared" si="7"/>
        <v>#DIV/0!</v>
      </c>
      <c r="Q79" s="2"/>
      <c r="R79" s="65"/>
      <c r="S79" s="65"/>
    </row>
    <row r="80" spans="1:19" ht="26.25" customHeight="1" hidden="1">
      <c r="A80" s="20"/>
      <c r="B80" s="23"/>
      <c r="C80" s="95" t="s">
        <v>23</v>
      </c>
      <c r="D80" s="154"/>
      <c r="E80" s="48"/>
      <c r="F80" s="73"/>
      <c r="G80" s="73"/>
      <c r="H80" s="108"/>
      <c r="I80" s="137">
        <f t="shared" si="6"/>
        <v>0</v>
      </c>
      <c r="J80" s="98" t="e">
        <f t="shared" si="7"/>
        <v>#DIV/0!</v>
      </c>
      <c r="Q80" s="2"/>
      <c r="R80" s="65"/>
      <c r="S80" s="65"/>
    </row>
    <row r="81" spans="1:19" ht="24.75" customHeight="1" hidden="1">
      <c r="A81" s="20"/>
      <c r="B81" s="23"/>
      <c r="C81" s="95" t="s">
        <v>24</v>
      </c>
      <c r="D81" s="154"/>
      <c r="E81" s="48"/>
      <c r="F81" s="73"/>
      <c r="G81" s="73"/>
      <c r="H81" s="108"/>
      <c r="I81" s="137">
        <f t="shared" si="6"/>
        <v>0</v>
      </c>
      <c r="J81" s="98" t="e">
        <f t="shared" si="7"/>
        <v>#DIV/0!</v>
      </c>
      <c r="Q81" s="2"/>
      <c r="R81" s="65"/>
      <c r="S81" s="65"/>
    </row>
    <row r="82" spans="1:19" ht="25.5" customHeight="1" hidden="1">
      <c r="A82" s="20"/>
      <c r="B82" s="23"/>
      <c r="C82" s="95" t="s">
        <v>25</v>
      </c>
      <c r="D82" s="154"/>
      <c r="E82" s="48"/>
      <c r="F82" s="73"/>
      <c r="G82" s="73"/>
      <c r="H82" s="108"/>
      <c r="I82" s="137">
        <f t="shared" si="6"/>
        <v>0</v>
      </c>
      <c r="J82" s="98" t="e">
        <f t="shared" si="7"/>
        <v>#DIV/0!</v>
      </c>
      <c r="Q82" s="2"/>
      <c r="R82" s="65"/>
      <c r="S82" s="65"/>
    </row>
    <row r="83" spans="1:19" ht="27.75" customHeight="1" hidden="1">
      <c r="A83" s="20"/>
      <c r="B83" s="23"/>
      <c r="C83" s="95" t="s">
        <v>26</v>
      </c>
      <c r="D83" s="154"/>
      <c r="E83" s="48"/>
      <c r="F83" s="73"/>
      <c r="G83" s="73"/>
      <c r="H83" s="108"/>
      <c r="I83" s="137">
        <f t="shared" si="6"/>
        <v>0</v>
      </c>
      <c r="J83" s="98" t="e">
        <f t="shared" si="7"/>
        <v>#DIV/0!</v>
      </c>
      <c r="Q83" s="2"/>
      <c r="R83" s="65"/>
      <c r="S83" s="65"/>
    </row>
    <row r="84" spans="1:19" ht="30.75" customHeight="1" hidden="1">
      <c r="A84" s="20"/>
      <c r="B84" s="23"/>
      <c r="C84" s="95" t="s">
        <v>27</v>
      </c>
      <c r="D84" s="154"/>
      <c r="E84" s="48"/>
      <c r="F84" s="73"/>
      <c r="G84" s="73"/>
      <c r="H84" s="108"/>
      <c r="I84" s="137">
        <f t="shared" si="6"/>
        <v>0</v>
      </c>
      <c r="J84" s="98" t="e">
        <f t="shared" si="7"/>
        <v>#DIV/0!</v>
      </c>
      <c r="Q84" s="2"/>
      <c r="R84" s="65"/>
      <c r="S84" s="65"/>
    </row>
    <row r="85" spans="1:19" ht="26.25" customHeight="1" hidden="1">
      <c r="A85" s="20"/>
      <c r="B85" s="23"/>
      <c r="C85" s="95" t="s">
        <v>28</v>
      </c>
      <c r="D85" s="154"/>
      <c r="E85" s="48"/>
      <c r="F85" s="73"/>
      <c r="G85" s="73"/>
      <c r="H85" s="108"/>
      <c r="I85" s="137">
        <f t="shared" si="6"/>
        <v>0</v>
      </c>
      <c r="J85" s="98" t="e">
        <f t="shared" si="7"/>
        <v>#DIV/0!</v>
      </c>
      <c r="Q85" s="2"/>
      <c r="R85" s="65"/>
      <c r="S85" s="65"/>
    </row>
    <row r="86" spans="1:19" ht="34.5" customHeight="1" hidden="1">
      <c r="A86" s="20"/>
      <c r="B86" s="23"/>
      <c r="C86" s="95" t="s">
        <v>29</v>
      </c>
      <c r="D86" s="154"/>
      <c r="E86" s="48"/>
      <c r="F86" s="73"/>
      <c r="G86" s="73"/>
      <c r="H86" s="108"/>
      <c r="I86" s="137">
        <f t="shared" si="6"/>
        <v>0</v>
      </c>
      <c r="J86" s="98" t="e">
        <f t="shared" si="7"/>
        <v>#DIV/0!</v>
      </c>
      <c r="Q86" s="2"/>
      <c r="R86" s="65"/>
      <c r="S86" s="65"/>
    </row>
    <row r="87" spans="1:19" ht="31.5" customHeight="1" hidden="1">
      <c r="A87" s="20"/>
      <c r="B87" s="23"/>
      <c r="C87" s="95" t="s">
        <v>30</v>
      </c>
      <c r="D87" s="154"/>
      <c r="E87" s="48"/>
      <c r="F87" s="73"/>
      <c r="G87" s="73"/>
      <c r="H87" s="108"/>
      <c r="I87" s="137">
        <f t="shared" si="6"/>
        <v>0</v>
      </c>
      <c r="J87" s="98" t="e">
        <f t="shared" si="7"/>
        <v>#DIV/0!</v>
      </c>
      <c r="Q87" s="2"/>
      <c r="R87" s="65"/>
      <c r="S87" s="65"/>
    </row>
    <row r="88" spans="1:19" ht="30" customHeight="1" hidden="1">
      <c r="A88" s="20"/>
      <c r="B88" s="23"/>
      <c r="C88" s="95" t="s">
        <v>31</v>
      </c>
      <c r="D88" s="154"/>
      <c r="E88" s="48"/>
      <c r="F88" s="73"/>
      <c r="G88" s="73"/>
      <c r="H88" s="108"/>
      <c r="I88" s="137">
        <f t="shared" si="6"/>
        <v>0</v>
      </c>
      <c r="J88" s="98" t="e">
        <f t="shared" si="7"/>
        <v>#DIV/0!</v>
      </c>
      <c r="Q88" s="2"/>
      <c r="R88" s="65"/>
      <c r="S88" s="65"/>
    </row>
    <row r="89" spans="1:17" ht="48" customHeight="1" hidden="1">
      <c r="A89" s="20"/>
      <c r="B89" s="184" t="s">
        <v>208</v>
      </c>
      <c r="C89" s="183" t="s">
        <v>32</v>
      </c>
      <c r="D89" s="154" t="s">
        <v>204</v>
      </c>
      <c r="E89" s="48" t="s">
        <v>279</v>
      </c>
      <c r="F89" s="73"/>
      <c r="G89" s="73"/>
      <c r="H89" s="108"/>
      <c r="I89" s="137">
        <f t="shared" si="6"/>
        <v>0</v>
      </c>
      <c r="J89" s="185" t="e">
        <f t="shared" si="7"/>
        <v>#DIV/0!</v>
      </c>
      <c r="Q89" s="2"/>
    </row>
    <row r="90" spans="1:17" ht="37.5" customHeight="1" hidden="1">
      <c r="A90" s="20"/>
      <c r="B90" s="184" t="s">
        <v>209</v>
      </c>
      <c r="C90" s="183" t="s">
        <v>32</v>
      </c>
      <c r="D90" s="154" t="s">
        <v>33</v>
      </c>
      <c r="E90" s="48" t="s">
        <v>280</v>
      </c>
      <c r="F90" s="73"/>
      <c r="G90" s="73"/>
      <c r="H90" s="108"/>
      <c r="I90" s="137">
        <f t="shared" si="6"/>
        <v>0</v>
      </c>
      <c r="J90" s="185" t="e">
        <f t="shared" si="7"/>
        <v>#DIV/0!</v>
      </c>
      <c r="Q90" s="2"/>
    </row>
    <row r="91" spans="1:17" ht="57.75" customHeight="1">
      <c r="A91" s="20"/>
      <c r="B91" s="24" t="s">
        <v>297</v>
      </c>
      <c r="C91" s="95" t="s">
        <v>32</v>
      </c>
      <c r="D91" s="154"/>
      <c r="E91" s="58" t="s">
        <v>295</v>
      </c>
      <c r="F91" s="57">
        <v>0</v>
      </c>
      <c r="G91" s="57">
        <v>6831667.44</v>
      </c>
      <c r="H91" s="67">
        <v>0</v>
      </c>
      <c r="I91" s="114">
        <f t="shared" si="6"/>
        <v>6831667.44</v>
      </c>
      <c r="J91" s="98" t="e">
        <f t="shared" si="7"/>
        <v>#DIV/0!</v>
      </c>
      <c r="Q91" s="2"/>
    </row>
    <row r="92" spans="1:17" ht="51" customHeight="1">
      <c r="A92" s="20"/>
      <c r="B92" s="24" t="s">
        <v>298</v>
      </c>
      <c r="C92" s="95" t="s">
        <v>32</v>
      </c>
      <c r="D92" s="154"/>
      <c r="E92" s="58" t="s">
        <v>296</v>
      </c>
      <c r="F92" s="57">
        <v>0</v>
      </c>
      <c r="G92" s="57">
        <v>20995949.52</v>
      </c>
      <c r="H92" s="67">
        <v>0</v>
      </c>
      <c r="I92" s="114">
        <f t="shared" si="6"/>
        <v>20995949.52</v>
      </c>
      <c r="J92" s="98" t="e">
        <f t="shared" si="7"/>
        <v>#DIV/0!</v>
      </c>
      <c r="Q92" s="2"/>
    </row>
    <row r="93" spans="1:17" ht="61.5" customHeight="1" hidden="1">
      <c r="A93" s="203">
        <v>9</v>
      </c>
      <c r="B93" s="206" t="s">
        <v>137</v>
      </c>
      <c r="C93" s="92"/>
      <c r="D93" s="160" t="s">
        <v>39</v>
      </c>
      <c r="E93" s="46" t="s">
        <v>94</v>
      </c>
      <c r="F93" s="138">
        <f>F94+F95+F96</f>
        <v>0</v>
      </c>
      <c r="G93" s="138">
        <f>G94+G95+G96</f>
        <v>0</v>
      </c>
      <c r="H93" s="138">
        <f>H94+H95+H96</f>
        <v>0</v>
      </c>
      <c r="I93" s="139">
        <f t="shared" si="6"/>
        <v>0</v>
      </c>
      <c r="J93" s="98" t="e">
        <f t="shared" si="7"/>
        <v>#DIV/0!</v>
      </c>
      <c r="Q93" s="2"/>
    </row>
    <row r="94" spans="1:17" ht="63" customHeight="1" hidden="1">
      <c r="A94" s="204"/>
      <c r="B94" s="207"/>
      <c r="C94" s="11">
        <v>912</v>
      </c>
      <c r="D94" s="59"/>
      <c r="E94" s="49"/>
      <c r="F94" s="73">
        <f>17000-17000</f>
        <v>0</v>
      </c>
      <c r="G94" s="73"/>
      <c r="H94" s="73"/>
      <c r="I94" s="137">
        <f t="shared" si="6"/>
        <v>0</v>
      </c>
      <c r="J94" s="98" t="e">
        <f t="shared" si="7"/>
        <v>#DIV/0!</v>
      </c>
      <c r="Q94" s="2"/>
    </row>
    <row r="95" spans="1:17" ht="48.75" customHeight="1" hidden="1">
      <c r="A95" s="204"/>
      <c r="B95" s="207"/>
      <c r="C95" s="11">
        <v>936</v>
      </c>
      <c r="D95" s="160"/>
      <c r="E95" s="46"/>
      <c r="F95" s="73">
        <f>16500-16500</f>
        <v>0</v>
      </c>
      <c r="G95" s="73"/>
      <c r="H95" s="73"/>
      <c r="I95" s="137">
        <f t="shared" si="6"/>
        <v>0</v>
      </c>
      <c r="J95" s="98" t="e">
        <f t="shared" si="7"/>
        <v>#DIV/0!</v>
      </c>
      <c r="Q95" s="2"/>
    </row>
    <row r="96" spans="1:17" ht="69.75" customHeight="1" hidden="1">
      <c r="A96" s="205"/>
      <c r="B96" s="208"/>
      <c r="C96" s="11">
        <v>912</v>
      </c>
      <c r="D96" s="160"/>
      <c r="E96" s="46"/>
      <c r="F96" s="73">
        <f>9000-4500-4500</f>
        <v>0</v>
      </c>
      <c r="G96" s="73"/>
      <c r="H96" s="73"/>
      <c r="I96" s="137">
        <f t="shared" si="6"/>
        <v>0</v>
      </c>
      <c r="J96" s="98" t="e">
        <f t="shared" si="7"/>
        <v>#DIV/0!</v>
      </c>
      <c r="Q96" s="2"/>
    </row>
    <row r="97" spans="1:17" ht="53.25" customHeight="1" hidden="1">
      <c r="A97" s="199">
        <v>10</v>
      </c>
      <c r="B97" s="200" t="s">
        <v>74</v>
      </c>
      <c r="C97" s="11"/>
      <c r="D97" s="155" t="s">
        <v>22</v>
      </c>
      <c r="E97" s="46" t="s">
        <v>97</v>
      </c>
      <c r="F97" s="135">
        <f>F98+F99+F100</f>
        <v>0</v>
      </c>
      <c r="G97" s="135">
        <f>G98+G99+G100</f>
        <v>0</v>
      </c>
      <c r="H97" s="135">
        <f>H98+H99+H100</f>
        <v>0</v>
      </c>
      <c r="I97" s="139">
        <f t="shared" si="6"/>
        <v>0</v>
      </c>
      <c r="J97" s="98" t="e">
        <f t="shared" si="7"/>
        <v>#DIV/0!</v>
      </c>
      <c r="Q97" s="2"/>
    </row>
    <row r="98" spans="1:17" ht="60.75" customHeight="1" hidden="1">
      <c r="A98" s="199"/>
      <c r="B98" s="200"/>
      <c r="C98" s="11">
        <v>912</v>
      </c>
      <c r="D98" s="164"/>
      <c r="E98" s="48"/>
      <c r="F98" s="73"/>
      <c r="G98" s="73"/>
      <c r="H98" s="73"/>
      <c r="I98" s="137">
        <f t="shared" si="6"/>
        <v>0</v>
      </c>
      <c r="J98" s="98" t="e">
        <f t="shared" si="7"/>
        <v>#DIV/0!</v>
      </c>
      <c r="Q98" s="2"/>
    </row>
    <row r="99" spans="1:17" ht="52.5" customHeight="1" hidden="1">
      <c r="A99" s="199"/>
      <c r="B99" s="200"/>
      <c r="C99" s="11">
        <v>936</v>
      </c>
      <c r="D99" s="155"/>
      <c r="E99" s="48"/>
      <c r="F99" s="73"/>
      <c r="G99" s="73"/>
      <c r="H99" s="73"/>
      <c r="I99" s="137">
        <f t="shared" si="6"/>
        <v>0</v>
      </c>
      <c r="J99" s="98" t="e">
        <f t="shared" si="7"/>
        <v>#DIV/0!</v>
      </c>
      <c r="Q99" s="2"/>
    </row>
    <row r="100" spans="1:17" ht="42" customHeight="1" hidden="1">
      <c r="A100" s="7"/>
      <c r="B100" s="200"/>
      <c r="C100" s="11">
        <v>935</v>
      </c>
      <c r="D100" s="155"/>
      <c r="E100" s="48"/>
      <c r="F100" s="73"/>
      <c r="G100" s="73"/>
      <c r="H100" s="73"/>
      <c r="I100" s="137">
        <f t="shared" si="6"/>
        <v>0</v>
      </c>
      <c r="J100" s="98" t="e">
        <f t="shared" si="7"/>
        <v>#DIV/0!</v>
      </c>
      <c r="Q100" s="2"/>
    </row>
    <row r="101" spans="1:17" ht="40.5" customHeight="1" hidden="1">
      <c r="A101" s="7">
        <v>12</v>
      </c>
      <c r="B101" s="29" t="s">
        <v>95</v>
      </c>
      <c r="C101" s="95" t="s">
        <v>34</v>
      </c>
      <c r="D101" s="165" t="s">
        <v>22</v>
      </c>
      <c r="E101" s="46" t="s">
        <v>96</v>
      </c>
      <c r="F101" s="73"/>
      <c r="G101" s="73"/>
      <c r="H101" s="73"/>
      <c r="I101" s="137">
        <f t="shared" si="6"/>
        <v>0</v>
      </c>
      <c r="J101" s="98" t="e">
        <f t="shared" si="7"/>
        <v>#DIV/0!</v>
      </c>
      <c r="Q101" s="2"/>
    </row>
    <row r="102" spans="1:17" ht="34.5" customHeight="1" hidden="1">
      <c r="A102" s="7"/>
      <c r="B102" s="89" t="s">
        <v>10</v>
      </c>
      <c r="C102" s="95" t="s">
        <v>40</v>
      </c>
      <c r="D102" s="161" t="s">
        <v>104</v>
      </c>
      <c r="E102" s="58" t="s">
        <v>107</v>
      </c>
      <c r="F102" s="73"/>
      <c r="G102" s="73"/>
      <c r="H102" s="73"/>
      <c r="I102" s="137">
        <f t="shared" si="6"/>
        <v>0</v>
      </c>
      <c r="J102" s="98" t="e">
        <f t="shared" si="7"/>
        <v>#DIV/0!</v>
      </c>
      <c r="Q102" s="2"/>
    </row>
    <row r="103" spans="1:17" ht="22.5" customHeight="1">
      <c r="A103" s="7">
        <v>34</v>
      </c>
      <c r="B103" s="37" t="s">
        <v>82</v>
      </c>
      <c r="C103" s="93" t="s">
        <v>56</v>
      </c>
      <c r="D103" s="5" t="s">
        <v>246</v>
      </c>
      <c r="E103" s="46"/>
      <c r="F103" s="115">
        <f>F104+F105+F106+F107+F108+F109+F110+F111+F112</f>
        <v>25780000</v>
      </c>
      <c r="G103" s="115">
        <f>G104+G105+G106+G107+G108+G109+G110+G111+G112</f>
        <v>16494307</v>
      </c>
      <c r="H103" s="115">
        <f>H104+H105+H106+H107+H108+H109+H110+H111+H112</f>
        <v>16494307</v>
      </c>
      <c r="I103" s="115">
        <f>I104+I105+I106+I107+I108+I109+I110+I111+I112</f>
        <v>0</v>
      </c>
      <c r="J103" s="98">
        <f t="shared" si="7"/>
        <v>63.98102017067494</v>
      </c>
      <c r="Q103" s="2"/>
    </row>
    <row r="104" spans="1:17" ht="16.5" customHeight="1">
      <c r="A104" s="7">
        <v>35</v>
      </c>
      <c r="B104" s="36" t="s">
        <v>57</v>
      </c>
      <c r="C104" s="11">
        <v>902</v>
      </c>
      <c r="D104" s="155"/>
      <c r="E104" s="46" t="s">
        <v>184</v>
      </c>
      <c r="F104" s="61">
        <v>3188300</v>
      </c>
      <c r="G104" s="61">
        <f>204000+327000+265900+256600+256600+284000</f>
        <v>1594100</v>
      </c>
      <c r="H104" s="61">
        <v>1594100</v>
      </c>
      <c r="I104" s="57">
        <f aca="true" t="shared" si="8" ref="I104:I114">G104-H104</f>
        <v>0</v>
      </c>
      <c r="J104" s="98">
        <f t="shared" si="7"/>
        <v>49.99843176614497</v>
      </c>
      <c r="Q104" s="2"/>
    </row>
    <row r="105" spans="1:17" ht="16.5" customHeight="1">
      <c r="A105" s="7"/>
      <c r="B105" s="36" t="s">
        <v>46</v>
      </c>
      <c r="C105" s="11">
        <v>902</v>
      </c>
      <c r="D105" s="5" t="s">
        <v>239</v>
      </c>
      <c r="E105" s="46" t="s">
        <v>238</v>
      </c>
      <c r="F105" s="61">
        <v>2443500</v>
      </c>
      <c r="G105" s="61">
        <f>1500000+164213+633142</f>
        <v>2297355</v>
      </c>
      <c r="H105" s="61">
        <v>2297355</v>
      </c>
      <c r="I105" s="57">
        <f t="shared" si="8"/>
        <v>0</v>
      </c>
      <c r="J105" s="98">
        <f t="shared" si="7"/>
        <v>94.01903007980356</v>
      </c>
      <c r="Q105" s="2"/>
    </row>
    <row r="106" spans="1:17" ht="15" customHeight="1">
      <c r="A106" s="199">
        <v>38</v>
      </c>
      <c r="B106" s="36" t="s">
        <v>36</v>
      </c>
      <c r="C106" s="11">
        <v>903</v>
      </c>
      <c r="D106" s="166" t="s">
        <v>222</v>
      </c>
      <c r="E106" s="46" t="s">
        <v>185</v>
      </c>
      <c r="F106" s="61">
        <v>7750500</v>
      </c>
      <c r="G106" s="61">
        <f>747000+1526068+201201+1731629+169793+799638+194900+524298+96915+467896+131866</f>
        <v>6591204</v>
      </c>
      <c r="H106" s="67">
        <v>6591204</v>
      </c>
      <c r="I106" s="57">
        <f t="shared" si="8"/>
        <v>0</v>
      </c>
      <c r="J106" s="98">
        <f t="shared" si="7"/>
        <v>85.04230694793884</v>
      </c>
      <c r="Q106" s="2"/>
    </row>
    <row r="107" spans="1:17" ht="24" customHeight="1">
      <c r="A107" s="199"/>
      <c r="B107" s="36" t="s">
        <v>36</v>
      </c>
      <c r="C107" s="11">
        <v>903</v>
      </c>
      <c r="D107" s="166" t="s">
        <v>240</v>
      </c>
      <c r="E107" s="46" t="s">
        <v>237</v>
      </c>
      <c r="F107" s="61">
        <v>1566000</v>
      </c>
      <c r="G107" s="61">
        <f>90792+87856+94960+101720+106692+650</f>
        <v>482670</v>
      </c>
      <c r="H107" s="67">
        <v>482670</v>
      </c>
      <c r="I107" s="57">
        <f t="shared" si="8"/>
        <v>0</v>
      </c>
      <c r="J107" s="98">
        <f t="shared" si="7"/>
        <v>30.821839080459768</v>
      </c>
      <c r="Q107" s="2"/>
    </row>
    <row r="108" spans="1:17" ht="15" customHeight="1">
      <c r="A108" s="199"/>
      <c r="B108" s="36" t="s">
        <v>36</v>
      </c>
      <c r="C108" s="11">
        <v>903</v>
      </c>
      <c r="D108" s="5" t="s">
        <v>239</v>
      </c>
      <c r="E108" s="46" t="s">
        <v>238</v>
      </c>
      <c r="F108" s="61">
        <v>247500</v>
      </c>
      <c r="G108" s="61">
        <f>82678</f>
        <v>82678</v>
      </c>
      <c r="H108" s="67">
        <v>82678</v>
      </c>
      <c r="I108" s="57">
        <f t="shared" si="8"/>
        <v>0</v>
      </c>
      <c r="J108" s="98">
        <f t="shared" si="7"/>
        <v>33.40525252525253</v>
      </c>
      <c r="Q108" s="2"/>
    </row>
    <row r="109" spans="1:17" ht="14.25" customHeight="1">
      <c r="A109" s="199"/>
      <c r="B109" s="36" t="s">
        <v>58</v>
      </c>
      <c r="C109" s="11">
        <v>912</v>
      </c>
      <c r="D109" s="155"/>
      <c r="E109" s="53" t="s">
        <v>186</v>
      </c>
      <c r="F109" s="61">
        <v>1541000</v>
      </c>
      <c r="G109" s="61">
        <f>98600+158000+128600+128400+128400+128500</f>
        <v>770500</v>
      </c>
      <c r="H109" s="61">
        <v>770500</v>
      </c>
      <c r="I109" s="57">
        <f t="shared" si="8"/>
        <v>0</v>
      </c>
      <c r="J109" s="98">
        <f t="shared" si="7"/>
        <v>50</v>
      </c>
      <c r="Q109" s="2"/>
    </row>
    <row r="110" spans="1:18" ht="14.25" customHeight="1" hidden="1">
      <c r="A110" s="199"/>
      <c r="B110" s="36" t="s">
        <v>158</v>
      </c>
      <c r="C110" s="11">
        <v>935</v>
      </c>
      <c r="D110" s="155"/>
      <c r="E110" s="52" t="s">
        <v>187</v>
      </c>
      <c r="F110" s="74"/>
      <c r="G110" s="74"/>
      <c r="H110" s="74"/>
      <c r="I110" s="73">
        <f t="shared" si="8"/>
        <v>0</v>
      </c>
      <c r="J110" s="98" t="e">
        <f t="shared" si="7"/>
        <v>#DIV/0!</v>
      </c>
      <c r="Q110" s="2"/>
      <c r="R110" s="8"/>
    </row>
    <row r="111" spans="1:18" ht="16.5" customHeight="1">
      <c r="A111" s="199"/>
      <c r="B111" s="36" t="s">
        <v>59</v>
      </c>
      <c r="C111" s="11">
        <v>936</v>
      </c>
      <c r="D111" s="166" t="s">
        <v>223</v>
      </c>
      <c r="E111" s="46" t="s">
        <v>184</v>
      </c>
      <c r="F111" s="61">
        <v>7066000</v>
      </c>
      <c r="G111" s="61">
        <f>534000+628000+604500+580000+700000+641000</f>
        <v>3687500</v>
      </c>
      <c r="H111" s="67">
        <v>3687500</v>
      </c>
      <c r="I111" s="57">
        <f t="shared" si="8"/>
        <v>0</v>
      </c>
      <c r="J111" s="98">
        <f t="shared" si="7"/>
        <v>52.18652703085197</v>
      </c>
      <c r="Q111" s="2"/>
      <c r="R111" s="8"/>
    </row>
    <row r="112" spans="1:17" ht="15" customHeight="1">
      <c r="A112" s="199"/>
      <c r="B112" s="36" t="s">
        <v>60</v>
      </c>
      <c r="C112" s="11">
        <v>992</v>
      </c>
      <c r="D112" s="155"/>
      <c r="E112" s="46" t="s">
        <v>184</v>
      </c>
      <c r="F112" s="61">
        <v>1977200</v>
      </c>
      <c r="G112" s="61">
        <f>126500+202500+164800+164900+164900+164700</f>
        <v>988300</v>
      </c>
      <c r="H112" s="61">
        <v>988300</v>
      </c>
      <c r="I112" s="57">
        <f t="shared" si="8"/>
        <v>0</v>
      </c>
      <c r="J112" s="98">
        <f t="shared" si="7"/>
        <v>49.98482702812058</v>
      </c>
      <c r="Q112" s="2"/>
    </row>
    <row r="113" spans="1:17" ht="39" customHeight="1" hidden="1">
      <c r="A113" s="199"/>
      <c r="B113" s="86" t="s">
        <v>154</v>
      </c>
      <c r="C113" s="11" t="s">
        <v>40</v>
      </c>
      <c r="D113" s="155" t="s">
        <v>62</v>
      </c>
      <c r="E113" s="46" t="s">
        <v>110</v>
      </c>
      <c r="F113" s="74"/>
      <c r="G113" s="74"/>
      <c r="H113" s="74"/>
      <c r="I113" s="73">
        <f t="shared" si="8"/>
        <v>0</v>
      </c>
      <c r="J113" s="98" t="e">
        <f t="shared" si="7"/>
        <v>#DIV/0!</v>
      </c>
      <c r="Q113" s="2"/>
    </row>
    <row r="114" spans="1:17" ht="51.75" customHeight="1" hidden="1">
      <c r="A114" s="199"/>
      <c r="B114" s="86" t="s">
        <v>156</v>
      </c>
      <c r="C114" s="11" t="s">
        <v>40</v>
      </c>
      <c r="D114" s="154" t="s">
        <v>35</v>
      </c>
      <c r="E114" s="46" t="s">
        <v>111</v>
      </c>
      <c r="F114" s="74"/>
      <c r="G114" s="74"/>
      <c r="H114" s="74"/>
      <c r="I114" s="73">
        <f t="shared" si="8"/>
        <v>0</v>
      </c>
      <c r="J114" s="98" t="e">
        <f t="shared" si="7"/>
        <v>#DIV/0!</v>
      </c>
      <c r="Q114" s="2"/>
    </row>
    <row r="115" spans="1:17" ht="42.75" customHeight="1" hidden="1">
      <c r="A115" s="7"/>
      <c r="B115" s="19" t="s">
        <v>160</v>
      </c>
      <c r="C115" s="11" t="s">
        <v>34</v>
      </c>
      <c r="D115" s="154" t="s">
        <v>35</v>
      </c>
      <c r="E115" s="46" t="s">
        <v>105</v>
      </c>
      <c r="F115" s="74"/>
      <c r="G115" s="74"/>
      <c r="H115" s="74"/>
      <c r="I115" s="73"/>
      <c r="J115" s="98" t="e">
        <f t="shared" si="7"/>
        <v>#DIV/0!</v>
      </c>
      <c r="Q115" s="2"/>
    </row>
    <row r="116" spans="1:17" ht="53.25" customHeight="1" hidden="1">
      <c r="A116" s="7"/>
      <c r="B116" s="19" t="s">
        <v>162</v>
      </c>
      <c r="C116" s="11" t="s">
        <v>40</v>
      </c>
      <c r="D116" s="154" t="s">
        <v>62</v>
      </c>
      <c r="E116" s="46" t="s">
        <v>161</v>
      </c>
      <c r="F116" s="74"/>
      <c r="G116" s="74"/>
      <c r="H116" s="74"/>
      <c r="I116" s="73">
        <f aca="true" t="shared" si="9" ref="I116:I122">G116-H116</f>
        <v>0</v>
      </c>
      <c r="J116" s="98" t="e">
        <f t="shared" si="7"/>
        <v>#DIV/0!</v>
      </c>
      <c r="Q116" s="2"/>
    </row>
    <row r="117" spans="1:17" ht="48" customHeight="1" hidden="1">
      <c r="A117" s="7">
        <v>41</v>
      </c>
      <c r="B117" s="28" t="s">
        <v>8</v>
      </c>
      <c r="C117" s="11" t="s">
        <v>37</v>
      </c>
      <c r="D117" s="155" t="s">
        <v>22</v>
      </c>
      <c r="E117" s="39" t="s">
        <v>195</v>
      </c>
      <c r="F117" s="73"/>
      <c r="G117" s="73"/>
      <c r="H117" s="73"/>
      <c r="I117" s="73">
        <f t="shared" si="9"/>
        <v>0</v>
      </c>
      <c r="J117" s="98" t="e">
        <f t="shared" si="7"/>
        <v>#DIV/0!</v>
      </c>
      <c r="Q117" s="2"/>
    </row>
    <row r="118" spans="1:17" ht="33" customHeight="1" hidden="1">
      <c r="A118" s="7"/>
      <c r="B118" s="71" t="s">
        <v>134</v>
      </c>
      <c r="C118" s="11" t="s">
        <v>37</v>
      </c>
      <c r="D118" s="154" t="s">
        <v>165</v>
      </c>
      <c r="E118" s="39" t="s">
        <v>153</v>
      </c>
      <c r="F118" s="73"/>
      <c r="G118" s="73"/>
      <c r="H118" s="73"/>
      <c r="I118" s="73">
        <f t="shared" si="9"/>
        <v>0</v>
      </c>
      <c r="J118" s="98" t="e">
        <f t="shared" si="7"/>
        <v>#DIV/0!</v>
      </c>
      <c r="Q118" s="2"/>
    </row>
    <row r="119" spans="1:18" ht="28.5" customHeight="1">
      <c r="A119" s="7">
        <v>42</v>
      </c>
      <c r="B119" s="86" t="s">
        <v>152</v>
      </c>
      <c r="C119" s="41" t="s">
        <v>63</v>
      </c>
      <c r="D119" s="143" t="s">
        <v>1</v>
      </c>
      <c r="E119" s="39" t="s">
        <v>213</v>
      </c>
      <c r="F119" s="57">
        <f>20200000+2586700</f>
        <v>22786700</v>
      </c>
      <c r="G119" s="57">
        <f>868168+2586697+814696+1169922+670820+1747745</f>
        <v>7858048</v>
      </c>
      <c r="H119" s="57">
        <v>7858048</v>
      </c>
      <c r="I119" s="57">
        <f t="shared" si="9"/>
        <v>0</v>
      </c>
      <c r="J119" s="98">
        <f t="shared" si="7"/>
        <v>34.48523919654886</v>
      </c>
      <c r="Q119" s="2"/>
      <c r="R119" s="65"/>
    </row>
    <row r="120" spans="1:17" ht="30" customHeight="1" hidden="1">
      <c r="A120" s="7"/>
      <c r="B120" s="86" t="s">
        <v>157</v>
      </c>
      <c r="C120" s="41" t="s">
        <v>89</v>
      </c>
      <c r="D120" s="157" t="s">
        <v>106</v>
      </c>
      <c r="E120" s="39" t="s">
        <v>151</v>
      </c>
      <c r="F120" s="73"/>
      <c r="G120" s="73"/>
      <c r="H120" s="57"/>
      <c r="I120" s="57">
        <f t="shared" si="9"/>
        <v>0</v>
      </c>
      <c r="J120" s="98" t="e">
        <f t="shared" si="7"/>
        <v>#DIV/0!</v>
      </c>
      <c r="Q120" s="2"/>
    </row>
    <row r="121" spans="1:17" ht="25.5" customHeight="1" hidden="1">
      <c r="A121" s="7"/>
      <c r="B121" s="29" t="s">
        <v>108</v>
      </c>
      <c r="C121" s="41" t="s">
        <v>89</v>
      </c>
      <c r="D121" s="157" t="s">
        <v>22</v>
      </c>
      <c r="E121" s="39" t="s">
        <v>109</v>
      </c>
      <c r="F121" s="152"/>
      <c r="G121" s="73"/>
      <c r="H121" s="57"/>
      <c r="I121" s="57">
        <f t="shared" si="9"/>
        <v>0</v>
      </c>
      <c r="J121" s="98" t="e">
        <f t="shared" si="7"/>
        <v>#DIV/0!</v>
      </c>
      <c r="Q121" s="2"/>
    </row>
    <row r="122" spans="1:18" ht="50.25" customHeight="1">
      <c r="A122" s="7"/>
      <c r="B122" s="60" t="s">
        <v>253</v>
      </c>
      <c r="C122" s="41" t="s">
        <v>36</v>
      </c>
      <c r="D122" s="5" t="s">
        <v>246</v>
      </c>
      <c r="E122" s="46" t="s">
        <v>196</v>
      </c>
      <c r="F122" s="61">
        <v>534600</v>
      </c>
      <c r="G122" s="73"/>
      <c r="H122" s="57"/>
      <c r="I122" s="57">
        <f t="shared" si="9"/>
        <v>0</v>
      </c>
      <c r="J122" s="98">
        <f t="shared" si="7"/>
        <v>0</v>
      </c>
      <c r="Q122" s="2"/>
      <c r="R122" s="8"/>
    </row>
    <row r="123" spans="1:18" ht="67.5" customHeight="1">
      <c r="A123" s="7"/>
      <c r="B123" s="87" t="s">
        <v>258</v>
      </c>
      <c r="C123" s="41" t="s">
        <v>89</v>
      </c>
      <c r="D123" s="177" t="s">
        <v>259</v>
      </c>
      <c r="E123" s="46" t="s">
        <v>274</v>
      </c>
      <c r="F123" s="61">
        <f>496700+5200+20100</f>
        <v>522000</v>
      </c>
      <c r="G123" s="73"/>
      <c r="H123" s="57"/>
      <c r="I123" s="57"/>
      <c r="J123" s="98"/>
      <c r="Q123" s="2"/>
      <c r="R123" s="65"/>
    </row>
    <row r="124" spans="1:17" ht="53.25" customHeight="1" hidden="1">
      <c r="A124" s="7"/>
      <c r="B124" s="87" t="s">
        <v>257</v>
      </c>
      <c r="C124" s="41" t="s">
        <v>89</v>
      </c>
      <c r="D124" s="177" t="s">
        <v>260</v>
      </c>
      <c r="E124" s="46" t="s">
        <v>256</v>
      </c>
      <c r="F124" s="61">
        <f>5200-5200</f>
        <v>0</v>
      </c>
      <c r="G124" s="73"/>
      <c r="H124" s="57"/>
      <c r="I124" s="57">
        <f>G124-H124</f>
        <v>0</v>
      </c>
      <c r="J124" s="98" t="e">
        <f aca="true" t="shared" si="10" ref="J124:J145">G124/F124*100</f>
        <v>#DIV/0!</v>
      </c>
      <c r="Q124" s="2"/>
    </row>
    <row r="125" spans="1:18" ht="48.75" customHeight="1" hidden="1">
      <c r="A125" s="7"/>
      <c r="B125" s="26" t="s">
        <v>163</v>
      </c>
      <c r="C125" s="41" t="s">
        <v>118</v>
      </c>
      <c r="D125" s="156" t="s">
        <v>22</v>
      </c>
      <c r="E125" s="46" t="s">
        <v>164</v>
      </c>
      <c r="F125" s="74"/>
      <c r="G125" s="73"/>
      <c r="H125" s="73"/>
      <c r="I125" s="73">
        <f>G125-H125</f>
        <v>0</v>
      </c>
      <c r="J125" s="98" t="e">
        <f t="shared" si="10"/>
        <v>#DIV/0!</v>
      </c>
      <c r="Q125" s="2"/>
      <c r="R125" s="65"/>
    </row>
    <row r="126" spans="1:18" ht="48" customHeight="1">
      <c r="A126" s="7"/>
      <c r="B126" s="144" t="s">
        <v>291</v>
      </c>
      <c r="C126" s="41" t="s">
        <v>89</v>
      </c>
      <c r="D126" s="143" t="s">
        <v>293</v>
      </c>
      <c r="E126" s="193" t="s">
        <v>292</v>
      </c>
      <c r="F126" s="61"/>
      <c r="G126" s="73"/>
      <c r="H126" s="73"/>
      <c r="I126" s="57">
        <f>G126-H126</f>
        <v>0</v>
      </c>
      <c r="J126" s="98" t="e">
        <f t="shared" si="10"/>
        <v>#DIV/0!</v>
      </c>
      <c r="Q126" s="2"/>
      <c r="R126" s="65"/>
    </row>
    <row r="127" spans="1:17" ht="53.25" customHeight="1">
      <c r="A127" s="7"/>
      <c r="B127" s="189" t="s">
        <v>289</v>
      </c>
      <c r="C127" s="41" t="s">
        <v>36</v>
      </c>
      <c r="D127" s="190" t="s">
        <v>287</v>
      </c>
      <c r="E127" s="46" t="s">
        <v>288</v>
      </c>
      <c r="F127" s="61">
        <v>986000</v>
      </c>
      <c r="G127" s="73"/>
      <c r="H127" s="57"/>
      <c r="I127" s="57">
        <f>G127-H127</f>
        <v>0</v>
      </c>
      <c r="J127" s="98">
        <f t="shared" si="10"/>
        <v>0</v>
      </c>
      <c r="Q127" s="2"/>
    </row>
    <row r="128" spans="1:17" ht="22.5" customHeight="1">
      <c r="A128" s="7"/>
      <c r="B128" s="81" t="s">
        <v>145</v>
      </c>
      <c r="C128" s="82"/>
      <c r="D128" s="167"/>
      <c r="E128" s="83"/>
      <c r="F128" s="171">
        <f>F73+F89+F90+F91+F92+F93+F97+F101+F102+F103+F113+F114+F115+F116+F117+F118+F119+F120+F121+F122+F123+F124+F125+F126+F127</f>
        <v>54412368</v>
      </c>
      <c r="G128" s="171">
        <f>G73+G89+G90+G91+G92+G93+G97+G101+G102+G103+G113+G114+G115+G116+G117+G118+G119+G120+G121+G122+G123+G124+G125+G126+G127</f>
        <v>54357402.94</v>
      </c>
      <c r="H128" s="171">
        <f>H73+H89+H90+H91+H92+H93+H97+H101+H102+H103+H113+H114+H115+H116+H117+H118+H119+H120+H121+H122+H123+H124+H125+H126+H127</f>
        <v>26529785.98</v>
      </c>
      <c r="I128" s="171">
        <f>I73+I89+I90+I91+I92+I93+I97+I101+I102+I103+I113+I114+I115+I116+I117+I118+I119+I120+I121+I122+I123+I124+I125+I126+I127</f>
        <v>27827616.96</v>
      </c>
      <c r="J128" s="106">
        <f t="shared" si="10"/>
        <v>99.89898425299188</v>
      </c>
      <c r="Q128" s="2"/>
    </row>
    <row r="129" spans="1:18" ht="63" customHeight="1">
      <c r="A129" s="7"/>
      <c r="B129" s="24" t="s">
        <v>285</v>
      </c>
      <c r="C129" s="95" t="s">
        <v>21</v>
      </c>
      <c r="D129" s="181" t="s">
        <v>290</v>
      </c>
      <c r="E129" s="58" t="s">
        <v>219</v>
      </c>
      <c r="F129" s="73"/>
      <c r="G129" s="57"/>
      <c r="H129" s="67"/>
      <c r="I129" s="114">
        <f aca="true" t="shared" si="11" ref="I129:I140">G129-H129</f>
        <v>0</v>
      </c>
      <c r="J129" s="98" t="e">
        <f t="shared" si="10"/>
        <v>#DIV/0!</v>
      </c>
      <c r="Q129" s="2"/>
      <c r="R129" s="65"/>
    </row>
    <row r="130" spans="1:17" ht="56.25" customHeight="1" hidden="1">
      <c r="A130" s="7"/>
      <c r="B130" s="25" t="s">
        <v>98</v>
      </c>
      <c r="C130" s="11" t="s">
        <v>34</v>
      </c>
      <c r="D130" s="154" t="s">
        <v>41</v>
      </c>
      <c r="E130" s="46" t="s">
        <v>99</v>
      </c>
      <c r="F130" s="73"/>
      <c r="G130" s="57"/>
      <c r="H130" s="67"/>
      <c r="I130" s="114">
        <f t="shared" si="11"/>
        <v>0</v>
      </c>
      <c r="J130" s="98" t="e">
        <f t="shared" si="10"/>
        <v>#DIV/0!</v>
      </c>
      <c r="Q130" s="2"/>
    </row>
    <row r="131" spans="1:17" ht="50.25" customHeight="1" hidden="1">
      <c r="A131" s="7"/>
      <c r="B131" s="25" t="s">
        <v>100</v>
      </c>
      <c r="C131" s="11" t="s">
        <v>34</v>
      </c>
      <c r="D131" s="154" t="s">
        <v>41</v>
      </c>
      <c r="E131" s="46" t="s">
        <v>101</v>
      </c>
      <c r="F131" s="73"/>
      <c r="G131" s="57"/>
      <c r="H131" s="67"/>
      <c r="I131" s="114">
        <f t="shared" si="11"/>
        <v>0</v>
      </c>
      <c r="J131" s="98" t="e">
        <f t="shared" si="10"/>
        <v>#DIV/0!</v>
      </c>
      <c r="Q131" s="2"/>
    </row>
    <row r="132" spans="1:17" ht="49.5" customHeight="1" hidden="1">
      <c r="A132" s="7"/>
      <c r="B132" s="25" t="s">
        <v>103</v>
      </c>
      <c r="C132" s="11" t="s">
        <v>36</v>
      </c>
      <c r="D132" s="155" t="s">
        <v>41</v>
      </c>
      <c r="E132" s="48"/>
      <c r="F132" s="73"/>
      <c r="G132" s="57"/>
      <c r="H132" s="57"/>
      <c r="I132" s="114">
        <f t="shared" si="11"/>
        <v>0</v>
      </c>
      <c r="J132" s="98" t="e">
        <f t="shared" si="10"/>
        <v>#DIV/0!</v>
      </c>
      <c r="Q132" s="2"/>
    </row>
    <row r="133" spans="1:17" ht="48.75" customHeight="1" hidden="1">
      <c r="A133" s="7"/>
      <c r="B133" s="30" t="s">
        <v>75</v>
      </c>
      <c r="C133" s="11" t="s">
        <v>36</v>
      </c>
      <c r="D133" s="155" t="s">
        <v>41</v>
      </c>
      <c r="E133" s="48"/>
      <c r="F133" s="73"/>
      <c r="G133" s="57"/>
      <c r="H133" s="57"/>
      <c r="I133" s="114">
        <f t="shared" si="11"/>
        <v>0</v>
      </c>
      <c r="J133" s="98" t="e">
        <f t="shared" si="10"/>
        <v>#DIV/0!</v>
      </c>
      <c r="Q133" s="2"/>
    </row>
    <row r="134" spans="1:17" ht="48" customHeight="1" hidden="1">
      <c r="A134" s="7"/>
      <c r="B134" s="30" t="s">
        <v>76</v>
      </c>
      <c r="C134" s="11" t="s">
        <v>36</v>
      </c>
      <c r="D134" s="155" t="s">
        <v>41</v>
      </c>
      <c r="E134" s="48"/>
      <c r="F134" s="73"/>
      <c r="G134" s="57"/>
      <c r="H134" s="57"/>
      <c r="I134" s="114">
        <f t="shared" si="11"/>
        <v>0</v>
      </c>
      <c r="J134" s="98" t="e">
        <f t="shared" si="10"/>
        <v>#DIV/0!</v>
      </c>
      <c r="Q134" s="2"/>
    </row>
    <row r="135" spans="1:17" ht="51" customHeight="1" hidden="1">
      <c r="A135" s="7"/>
      <c r="B135" s="31" t="s">
        <v>42</v>
      </c>
      <c r="C135" s="11" t="s">
        <v>36</v>
      </c>
      <c r="D135" s="155" t="s">
        <v>41</v>
      </c>
      <c r="E135" s="48"/>
      <c r="F135" s="73"/>
      <c r="G135" s="57"/>
      <c r="H135" s="57"/>
      <c r="I135" s="114">
        <f t="shared" si="11"/>
        <v>0</v>
      </c>
      <c r="J135" s="98" t="e">
        <f t="shared" si="10"/>
        <v>#DIV/0!</v>
      </c>
      <c r="Q135" s="2"/>
    </row>
    <row r="136" spans="1:17" ht="0.75" customHeight="1" hidden="1">
      <c r="A136" s="7"/>
      <c r="B136" s="4" t="s">
        <v>228</v>
      </c>
      <c r="C136" s="11" t="s">
        <v>43</v>
      </c>
      <c r="D136" s="155" t="s">
        <v>44</v>
      </c>
      <c r="E136" s="46" t="s">
        <v>230</v>
      </c>
      <c r="F136" s="73"/>
      <c r="G136" s="57"/>
      <c r="H136" s="57"/>
      <c r="I136" s="114">
        <f t="shared" si="11"/>
        <v>0</v>
      </c>
      <c r="J136" s="98" t="e">
        <f t="shared" si="10"/>
        <v>#DIV/0!</v>
      </c>
      <c r="Q136" s="2"/>
    </row>
    <row r="137" spans="1:17" ht="40.5" customHeight="1" hidden="1">
      <c r="A137" s="7"/>
      <c r="B137" s="145" t="s">
        <v>229</v>
      </c>
      <c r="C137" s="11" t="s">
        <v>43</v>
      </c>
      <c r="D137" s="155" t="s">
        <v>45</v>
      </c>
      <c r="E137" s="46" t="s">
        <v>231</v>
      </c>
      <c r="F137" s="73"/>
      <c r="G137" s="57"/>
      <c r="H137" s="57"/>
      <c r="I137" s="114">
        <f t="shared" si="11"/>
        <v>0</v>
      </c>
      <c r="J137" s="98" t="e">
        <f t="shared" si="10"/>
        <v>#DIV/0!</v>
      </c>
      <c r="Q137" s="2"/>
    </row>
    <row r="138" spans="1:17" ht="33" customHeight="1" hidden="1">
      <c r="A138" s="7"/>
      <c r="B138" s="29" t="s">
        <v>141</v>
      </c>
      <c r="C138" s="94" t="s">
        <v>155</v>
      </c>
      <c r="D138" s="162" t="s">
        <v>41</v>
      </c>
      <c r="E138" s="46" t="s">
        <v>142</v>
      </c>
      <c r="F138" s="123"/>
      <c r="G138" s="113"/>
      <c r="H138" s="113"/>
      <c r="I138" s="114">
        <f t="shared" si="11"/>
        <v>0</v>
      </c>
      <c r="J138" s="98" t="e">
        <f t="shared" si="10"/>
        <v>#DIV/0!</v>
      </c>
      <c r="Q138" s="2"/>
    </row>
    <row r="139" spans="1:17" ht="28.5" customHeight="1" hidden="1">
      <c r="A139" s="7"/>
      <c r="B139" s="29" t="s">
        <v>234</v>
      </c>
      <c r="C139" s="94" t="s">
        <v>167</v>
      </c>
      <c r="D139" s="162" t="s">
        <v>41</v>
      </c>
      <c r="E139" s="46" t="s">
        <v>233</v>
      </c>
      <c r="F139" s="123"/>
      <c r="G139" s="113"/>
      <c r="H139" s="113"/>
      <c r="I139" s="114">
        <f t="shared" si="11"/>
        <v>0</v>
      </c>
      <c r="J139" s="98" t="e">
        <f t="shared" si="10"/>
        <v>#DIV/0!</v>
      </c>
      <c r="Q139" s="2"/>
    </row>
    <row r="140" spans="1:17" ht="26.25" customHeight="1" hidden="1">
      <c r="A140" s="7"/>
      <c r="B140" s="29" t="s">
        <v>234</v>
      </c>
      <c r="C140" s="94" t="s">
        <v>167</v>
      </c>
      <c r="D140" s="162" t="s">
        <v>41</v>
      </c>
      <c r="E140" s="46" t="s">
        <v>218</v>
      </c>
      <c r="F140" s="123"/>
      <c r="G140" s="113"/>
      <c r="H140" s="113"/>
      <c r="I140" s="114">
        <f t="shared" si="11"/>
        <v>0</v>
      </c>
      <c r="J140" s="98" t="e">
        <f t="shared" si="10"/>
        <v>#DIV/0!</v>
      </c>
      <c r="Q140" s="2"/>
    </row>
    <row r="141" spans="1:17" ht="22.5" customHeight="1">
      <c r="A141" s="7"/>
      <c r="B141" s="81" t="s">
        <v>146</v>
      </c>
      <c r="C141" s="85"/>
      <c r="D141" s="167"/>
      <c r="E141" s="84"/>
      <c r="F141" s="171">
        <f>SUM(F129:F140)</f>
        <v>0</v>
      </c>
      <c r="G141" s="171">
        <f>SUM(G129:G140)</f>
        <v>0</v>
      </c>
      <c r="H141" s="171">
        <f>SUM(H129:H140)</f>
        <v>0</v>
      </c>
      <c r="I141" s="171">
        <f>SUM(I129:I140)</f>
        <v>0</v>
      </c>
      <c r="J141" s="106" t="e">
        <f t="shared" si="10"/>
        <v>#DIV/0!</v>
      </c>
      <c r="Q141" s="2"/>
    </row>
    <row r="142" spans="1:17" ht="30.75" customHeight="1">
      <c r="A142" s="7">
        <v>43</v>
      </c>
      <c r="B142" s="29" t="s">
        <v>84</v>
      </c>
      <c r="C142" s="11" t="s">
        <v>64</v>
      </c>
      <c r="D142" s="163" t="s">
        <v>247</v>
      </c>
      <c r="E142" s="48"/>
      <c r="F142" s="61">
        <v>43979000</v>
      </c>
      <c r="G142" s="61">
        <f>3664917+3664917+3664917+3664917+3664917+3664917</f>
        <v>21989502</v>
      </c>
      <c r="H142" s="61">
        <v>21989502</v>
      </c>
      <c r="I142" s="57">
        <f>G142-H142</f>
        <v>0</v>
      </c>
      <c r="J142" s="100">
        <f t="shared" si="10"/>
        <v>50.000004547625</v>
      </c>
      <c r="Q142" s="2"/>
    </row>
    <row r="143" spans="1:17" ht="18.75" customHeight="1" hidden="1">
      <c r="A143" s="7">
        <v>45</v>
      </c>
      <c r="B143" s="42" t="s">
        <v>85</v>
      </c>
      <c r="C143" s="11" t="s">
        <v>64</v>
      </c>
      <c r="D143" s="155" t="s">
        <v>65</v>
      </c>
      <c r="E143" s="48"/>
      <c r="F143" s="61"/>
      <c r="G143" s="61"/>
      <c r="H143" s="74"/>
      <c r="I143" s="73">
        <f>G143-H143</f>
        <v>0</v>
      </c>
      <c r="J143" s="98" t="e">
        <f t="shared" si="10"/>
        <v>#DIV/0!</v>
      </c>
      <c r="Q143" s="2"/>
    </row>
    <row r="144" spans="1:17" ht="39" customHeight="1" hidden="1">
      <c r="A144" s="7">
        <v>46</v>
      </c>
      <c r="B144" s="118" t="s">
        <v>166</v>
      </c>
      <c r="C144" s="11" t="s">
        <v>64</v>
      </c>
      <c r="D144" s="155" t="s">
        <v>41</v>
      </c>
      <c r="E144" s="48"/>
      <c r="F144" s="9"/>
      <c r="G144" s="61"/>
      <c r="H144" s="74"/>
      <c r="I144" s="73">
        <f>G144-H144</f>
        <v>0</v>
      </c>
      <c r="J144" s="98" t="e">
        <f t="shared" si="10"/>
        <v>#DIV/0!</v>
      </c>
      <c r="Q144" s="2"/>
    </row>
    <row r="145" spans="1:17" ht="15" customHeight="1">
      <c r="A145" s="7">
        <v>47</v>
      </c>
      <c r="B145" s="37" t="s">
        <v>66</v>
      </c>
      <c r="C145" s="38"/>
      <c r="D145" s="39"/>
      <c r="E145" s="43"/>
      <c r="F145" s="40">
        <f>F72+F128+F141+F142+F143+F144</f>
        <v>214818288</v>
      </c>
      <c r="G145" s="115">
        <f>G72+G128+G141+G142+G143+G144</f>
        <v>143417436.22</v>
      </c>
      <c r="H145" s="115">
        <f>H72+H128+H141+H142+H143+H144</f>
        <v>115482763.49</v>
      </c>
      <c r="I145" s="115">
        <f>I72+I128+I141+I142+I143+I144</f>
        <v>27934672.730000004</v>
      </c>
      <c r="J145" s="100">
        <f t="shared" si="10"/>
        <v>66.76220984500165</v>
      </c>
      <c r="Q145" s="54"/>
    </row>
    <row r="146" spans="1:17" ht="0.75" customHeight="1">
      <c r="A146" s="7">
        <v>48</v>
      </c>
      <c r="B146" s="18"/>
      <c r="C146" s="37"/>
      <c r="D146" s="39"/>
      <c r="E146" s="43"/>
      <c r="F146" s="40"/>
      <c r="G146" s="115"/>
      <c r="H146" s="115"/>
      <c r="I146" s="115"/>
      <c r="J146" s="27"/>
      <c r="Q146" s="2"/>
    </row>
    <row r="147" spans="1:17" ht="26.25" customHeight="1" hidden="1">
      <c r="A147" s="20"/>
      <c r="B147" s="25" t="s">
        <v>73</v>
      </c>
      <c r="C147" s="11"/>
      <c r="D147" s="5"/>
      <c r="E147" s="48"/>
      <c r="F147" s="6"/>
      <c r="G147" s="61"/>
      <c r="H147" s="61"/>
      <c r="I147" s="61">
        <f>G147-H147</f>
        <v>0</v>
      </c>
      <c r="J147" s="27"/>
      <c r="Q147" s="2"/>
    </row>
    <row r="148" spans="1:17" ht="28.5" customHeight="1" hidden="1">
      <c r="A148" s="20"/>
      <c r="B148" s="19" t="s">
        <v>61</v>
      </c>
      <c r="C148" s="11"/>
      <c r="D148" s="5"/>
      <c r="E148" s="48"/>
      <c r="F148" s="9"/>
      <c r="G148" s="61"/>
      <c r="H148" s="61"/>
      <c r="I148" s="61">
        <f>G148-H148</f>
        <v>0</v>
      </c>
      <c r="J148" s="27"/>
      <c r="Q148" s="2"/>
    </row>
    <row r="149" spans="1:17" ht="24" customHeight="1" hidden="1">
      <c r="A149" s="20"/>
      <c r="B149" s="29" t="s">
        <v>83</v>
      </c>
      <c r="C149" s="11"/>
      <c r="D149" s="5"/>
      <c r="E149" s="48"/>
      <c r="F149" s="9"/>
      <c r="G149" s="61"/>
      <c r="H149" s="61"/>
      <c r="I149" s="61">
        <f>G149-H149</f>
        <v>0</v>
      </c>
      <c r="J149" s="27"/>
      <c r="Q149" s="2"/>
    </row>
    <row r="150" spans="1:17" ht="30" customHeight="1" hidden="1">
      <c r="A150" s="20"/>
      <c r="B150" s="10" t="s">
        <v>86</v>
      </c>
      <c r="C150" s="11"/>
      <c r="D150" s="5"/>
      <c r="E150" s="48"/>
      <c r="F150" s="9"/>
      <c r="G150" s="61"/>
      <c r="H150" s="61"/>
      <c r="I150" s="61">
        <f>G150-H150</f>
        <v>0</v>
      </c>
      <c r="J150" s="27"/>
      <c r="Q150" s="2"/>
    </row>
    <row r="151" spans="1:17" ht="13.5" customHeight="1" hidden="1">
      <c r="A151" s="20"/>
      <c r="B151" s="35" t="s">
        <v>87</v>
      </c>
      <c r="C151" s="11"/>
      <c r="D151" s="5"/>
      <c r="E151" s="48"/>
      <c r="F151" s="9"/>
      <c r="G151" s="61"/>
      <c r="H151" s="61"/>
      <c r="I151" s="61">
        <f>G151-H151</f>
        <v>0</v>
      </c>
      <c r="J151" s="27"/>
      <c r="Q151" s="2"/>
    </row>
    <row r="152" spans="1:20" ht="15" customHeight="1">
      <c r="A152" s="20"/>
      <c r="B152" s="19"/>
      <c r="C152" s="11"/>
      <c r="D152" s="5"/>
      <c r="E152" s="48"/>
      <c r="F152" s="9"/>
      <c r="G152" s="61"/>
      <c r="H152" s="61"/>
      <c r="I152" s="61"/>
      <c r="J152" s="27"/>
      <c r="T152" s="65"/>
    </row>
    <row r="153" spans="1:20" ht="14.25" customHeight="1">
      <c r="A153" s="20"/>
      <c r="B153" s="101" t="s">
        <v>67</v>
      </c>
      <c r="C153" s="102"/>
      <c r="D153" s="103"/>
      <c r="E153" s="104"/>
      <c r="F153" s="105">
        <f>F145+F148+F147+F149+F150+F151+F152</f>
        <v>214818288</v>
      </c>
      <c r="G153" s="105">
        <f>G145+G148+G147+G149+G150+G151+G152</f>
        <v>143417436.22</v>
      </c>
      <c r="H153" s="105">
        <f>H145+H148+H147+H149+H150+H151+H152</f>
        <v>115482763.49</v>
      </c>
      <c r="I153" s="105">
        <f>I145+I148+I147+I149+I150+I151+I152</f>
        <v>27934672.730000004</v>
      </c>
      <c r="J153" s="106">
        <f>G153/F153*100</f>
        <v>66.76220984500165</v>
      </c>
      <c r="R153" s="2"/>
      <c r="T153" s="64"/>
    </row>
    <row r="154" spans="1:20" ht="16.5" customHeight="1">
      <c r="A154" s="20"/>
      <c r="B154" s="44" t="s">
        <v>68</v>
      </c>
      <c r="C154" s="44"/>
      <c r="D154" s="12"/>
      <c r="E154" s="18"/>
      <c r="F154" s="56"/>
      <c r="G154" s="74"/>
      <c r="H154" s="74"/>
      <c r="I154" s="115">
        <v>30600872.86</v>
      </c>
      <c r="J154" s="27"/>
      <c r="R154" s="2"/>
      <c r="T154" s="64"/>
    </row>
    <row r="155" spans="1:17" ht="13.5" customHeight="1">
      <c r="A155" s="20"/>
      <c r="B155" s="125" t="s">
        <v>69</v>
      </c>
      <c r="C155" s="44"/>
      <c r="D155" s="12"/>
      <c r="E155" s="18"/>
      <c r="F155" s="56"/>
      <c r="G155" s="74"/>
      <c r="H155" s="74"/>
      <c r="I155" s="188">
        <v>1357958.03</v>
      </c>
      <c r="J155" s="179"/>
      <c r="K155" s="55"/>
      <c r="L155" s="55"/>
      <c r="M155" s="55"/>
      <c r="N155" s="55"/>
      <c r="O155" s="55"/>
      <c r="P155" s="55"/>
      <c r="Q155" s="55"/>
    </row>
    <row r="156" spans="1:10" ht="13.5" customHeight="1">
      <c r="A156" s="20"/>
      <c r="B156" s="44" t="s">
        <v>70</v>
      </c>
      <c r="C156" s="44"/>
      <c r="D156" s="12"/>
      <c r="E156" s="18"/>
      <c r="F156" s="56"/>
      <c r="G156" s="74"/>
      <c r="H156" s="74"/>
      <c r="I156" s="61">
        <f>I153-I159</f>
        <v>6506.510000005364</v>
      </c>
      <c r="J156" s="27"/>
    </row>
    <row r="157" spans="1:10" ht="13.5" customHeight="1">
      <c r="A157" s="20"/>
      <c r="B157" s="44" t="s">
        <v>71</v>
      </c>
      <c r="C157" s="44"/>
      <c r="D157" s="12"/>
      <c r="E157" s="18"/>
      <c r="F157" s="56"/>
      <c r="G157" s="74"/>
      <c r="H157" s="74"/>
      <c r="I157" s="61">
        <f>I17+I18+I20+I21+I22+I24+I102+I114+I115+I124+I136</f>
        <v>0</v>
      </c>
      <c r="J157" s="180"/>
    </row>
    <row r="158" spans="1:18" ht="14.25" customHeight="1">
      <c r="A158" s="20"/>
      <c r="B158" s="126" t="s">
        <v>201</v>
      </c>
      <c r="C158" s="3"/>
      <c r="D158" s="13"/>
      <c r="E158" s="43"/>
      <c r="F158" s="56"/>
      <c r="G158" s="74"/>
      <c r="H158" s="74"/>
      <c r="I158" s="188">
        <f>I154-I155</f>
        <v>29242914.83</v>
      </c>
      <c r="J158" s="27"/>
      <c r="R158" s="90"/>
    </row>
    <row r="159" spans="1:18" ht="33.75">
      <c r="A159" s="20"/>
      <c r="B159" s="44" t="s">
        <v>70</v>
      </c>
      <c r="C159" s="27"/>
      <c r="D159" s="14"/>
      <c r="E159" s="50"/>
      <c r="F159" s="59"/>
      <c r="G159" s="109"/>
      <c r="H159" s="182" t="s">
        <v>278</v>
      </c>
      <c r="I159" s="57">
        <f>I4+I58+I64+I73+I78+I89+I90+I91+I92+I96+I98+I109+I129+I138</f>
        <v>27928166.22</v>
      </c>
      <c r="J159" s="27"/>
      <c r="R159" s="110"/>
    </row>
    <row r="160" spans="1:18" ht="14.25">
      <c r="A160" s="20"/>
      <c r="B160" s="44" t="s">
        <v>71</v>
      </c>
      <c r="C160" s="27"/>
      <c r="D160" s="14"/>
      <c r="E160" s="50"/>
      <c r="F160" s="59"/>
      <c r="G160" s="109"/>
      <c r="H160" s="186"/>
      <c r="I160" s="57">
        <f>I4</f>
        <v>100549.26000000001</v>
      </c>
      <c r="J160" s="27"/>
      <c r="R160" s="91"/>
    </row>
    <row r="161" spans="1:17" ht="13.5" customHeight="1">
      <c r="A161" s="20"/>
      <c r="B161" s="124" t="s">
        <v>200</v>
      </c>
      <c r="G161" s="8"/>
      <c r="H161" s="187"/>
      <c r="I161" s="64">
        <v>27927670.42</v>
      </c>
      <c r="J161" s="65"/>
      <c r="K161" s="65"/>
      <c r="L161" s="65"/>
      <c r="M161" s="65"/>
      <c r="N161" s="65"/>
      <c r="O161" s="65"/>
      <c r="P161" s="65"/>
      <c r="Q161" s="65"/>
    </row>
    <row r="162" spans="1:18" ht="13.5" customHeight="1">
      <c r="A162" s="20"/>
      <c r="B162" s="124" t="s">
        <v>199</v>
      </c>
      <c r="C162" s="8"/>
      <c r="D162" s="17"/>
      <c r="G162" s="8"/>
      <c r="H162" s="187"/>
      <c r="I162" s="64">
        <f>I16+I64+I77+I88+I89+I90+27827616.96</f>
        <v>27843540.51</v>
      </c>
      <c r="R162" s="2"/>
    </row>
    <row r="163" spans="2:18" ht="14.25">
      <c r="B163" s="124" t="s">
        <v>211</v>
      </c>
      <c r="G163" s="8"/>
      <c r="H163" s="187"/>
      <c r="I163" s="64">
        <f>I16</f>
        <v>15923.550000000003</v>
      </c>
      <c r="R163" s="2"/>
    </row>
    <row r="164" ht="12.75">
      <c r="I164" s="8"/>
    </row>
    <row r="165" spans="4:18" ht="12.75">
      <c r="D165" s="68" t="s">
        <v>116</v>
      </c>
      <c r="E165" s="69" t="s">
        <v>36</v>
      </c>
      <c r="F165" s="64">
        <f>F40+F43+F44+F48+F49+F50+F51+F52+F53+F54+F55+F65+F106+F107+F108+F122+F127</f>
        <v>115214700</v>
      </c>
      <c r="G165" s="64">
        <f>G40+G43+G44+G48+G49+G50+G51+G52+G53+G54+G55+G65+G106+G107+G108+G122+G127</f>
        <v>69089977.95</v>
      </c>
      <c r="H165" s="64">
        <f>H40+H43+H44+H48+H49+H50+H51+H52+H53+H54+H55+H65+H106+H107+H108+H122+H127</f>
        <v>69083598.46</v>
      </c>
      <c r="I165" s="64">
        <f>I40+I43+I44+I48+I49+I50+I51+I52+I53+I54+I55+I65+I106+I107+I108+I122+I127</f>
        <v>6379.490000002057</v>
      </c>
      <c r="R165" s="2"/>
    </row>
    <row r="166" spans="5:18" ht="12.75">
      <c r="E166" s="69" t="s">
        <v>117</v>
      </c>
      <c r="F166" s="64">
        <f>F17+F18+F19+F20+F21+F22+F23+F24+F25+F26+F27+F28+F29+F30+F31+F32+F33+F36+F39+F41+F42+F59+F60+F61+F63+F66+F67+F68+F69+F70+F71+F78+F111+F113+F114+F115+F116+F117+F118+F119+F123+F124+F126</f>
        <v>40314094</v>
      </c>
      <c r="G166" s="64">
        <f>G17+G18+G19+G20+G21+G22+G23+G24+G25+G26+G27+G28+G29+G30+G31+G32+G33+G36+G39+G41+G42+G59+G60+G61+G63+G66+G67+G68+G69+G70+G71+G78+G111+G113+G114+G115+G116+G117+G118+G119+G123+G124+G126</f>
        <v>15094605.33</v>
      </c>
      <c r="H166" s="64">
        <f>H17+H18+H19+H20+H21+H22+H23+H24+H25+H26+H27+H28+H29+H30+H31+H32+H33+H36+H39+H41+H42+H59+H60+H61+H63+H66+H67+H68+H69+H70+H71+H78+H111+H113+H114+H115+H116+H117+H118+H119+H123+H124+H126</f>
        <v>15094478.31</v>
      </c>
      <c r="I166" s="64">
        <f>I17+I18+I19+I20+I21+I22+I23+I24+I25+I26+I27+I28+I29+I30+I31+I32+I33+I36+I39+I41+I42+I59+I60+I61+I63+I66+I67+I68+I69+I70+I71+I78+I111+I113+I114+I115+I116+I117+I118+I119+I123+I124+I126</f>
        <v>127.01999999998952</v>
      </c>
      <c r="R166" s="2"/>
    </row>
    <row r="167" spans="5:10" ht="12.75">
      <c r="E167" s="69" t="s">
        <v>118</v>
      </c>
      <c r="F167" s="64">
        <f>F4+F58+F64+F74+F75+F76+F77+F89+F90+F91+F92+F109+F125+F129+F138+F140+F142+F143+F144</f>
        <v>51273194</v>
      </c>
      <c r="G167" s="64">
        <f>G4+G58+G64+G74+G75+G76+G77+G89+G90+G91+G92+G109+G125+G129+G138+G140+G142+G143+G144</f>
        <v>54123249.94</v>
      </c>
      <c r="H167" s="64">
        <f>H4+H58+H64+H74+H75+H76+H77+H89+H90+H91+H92+H109+H125+H129+H138+H140+H142+H143+H144</f>
        <v>26195083.72</v>
      </c>
      <c r="I167" s="64">
        <f>I4+I58+I64+I74+I75+I76+I77+I89+I90+I91+I92+I109+I125+I129+I138+I140+I142+I143+I144</f>
        <v>27928166.22</v>
      </c>
      <c r="J167" s="65"/>
    </row>
    <row r="168" spans="5:18" ht="12.75">
      <c r="E168" s="69" t="s">
        <v>112</v>
      </c>
      <c r="F168" s="64">
        <f>F35+F104+F105</f>
        <v>5880600</v>
      </c>
      <c r="G168" s="64">
        <f>G35+G104+G105</f>
        <v>4028987</v>
      </c>
      <c r="H168" s="64">
        <f>H35+H104+H105</f>
        <v>4028987</v>
      </c>
      <c r="I168" s="64">
        <f>I35+I104+I105</f>
        <v>0</v>
      </c>
      <c r="Q168" s="121"/>
      <c r="R168" s="2"/>
    </row>
    <row r="169" spans="5:18" ht="12.75">
      <c r="E169" s="69" t="s">
        <v>43</v>
      </c>
      <c r="F169" s="64">
        <f>F37+F112+F136+F137</f>
        <v>2135700</v>
      </c>
      <c r="G169" s="64">
        <f>G37+G112+G136+G137</f>
        <v>1080616</v>
      </c>
      <c r="H169" s="64">
        <f>H37+H112+H136+H137</f>
        <v>1080616</v>
      </c>
      <c r="I169" s="64">
        <f>I37+I112+I136+I137</f>
        <v>0</v>
      </c>
      <c r="Q169" s="121"/>
      <c r="R169" s="2"/>
    </row>
    <row r="170" spans="5:9" ht="12.75">
      <c r="E170" s="69" t="s">
        <v>119</v>
      </c>
      <c r="F170" s="64">
        <f>F110</f>
        <v>0</v>
      </c>
      <c r="G170" s="64">
        <f>G110</f>
        <v>0</v>
      </c>
      <c r="H170" s="64">
        <f>H110</f>
        <v>0</v>
      </c>
      <c r="I170" s="64">
        <f>I110</f>
        <v>0</v>
      </c>
    </row>
    <row r="171" spans="6:9" ht="12.75">
      <c r="F171" s="70">
        <f>SUM(F165:F170)</f>
        <v>214818288</v>
      </c>
      <c r="G171" s="70">
        <f>SUM(G165:G170)</f>
        <v>143417436.22</v>
      </c>
      <c r="H171" s="70">
        <f>SUM(H165:H170)</f>
        <v>115482763.49</v>
      </c>
      <c r="I171" s="70">
        <f>SUM(I165:I170)</f>
        <v>27934672.73</v>
      </c>
    </row>
  </sheetData>
  <sheetProtection/>
  <mergeCells count="15">
    <mergeCell ref="C55:C57"/>
    <mergeCell ref="B62:B64"/>
    <mergeCell ref="C44:C47"/>
    <mergeCell ref="B44:B47"/>
    <mergeCell ref="B55:B57"/>
    <mergeCell ref="B73:B79"/>
    <mergeCell ref="A2:I2"/>
    <mergeCell ref="D45:D47"/>
    <mergeCell ref="A106:A114"/>
    <mergeCell ref="A97:A99"/>
    <mergeCell ref="B97:B100"/>
    <mergeCell ref="B34:B37"/>
    <mergeCell ref="A93:A96"/>
    <mergeCell ref="B93:B96"/>
    <mergeCell ref="B38:B40"/>
  </mergeCells>
  <printOptions/>
  <pageMargins left="0.1968503937007874" right="0" top="0.1968503937007874" bottom="0" header="0.1968503937007874" footer="0"/>
  <pageSetup fitToHeight="0" fitToWidth="0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</dc:creator>
  <cp:keywords/>
  <dc:description/>
  <cp:lastModifiedBy>Budget</cp:lastModifiedBy>
  <cp:lastPrinted>2017-07-05T11:09:38Z</cp:lastPrinted>
  <dcterms:created xsi:type="dcterms:W3CDTF">2014-01-14T04:43:51Z</dcterms:created>
  <dcterms:modified xsi:type="dcterms:W3CDTF">2017-08-03T11:36:16Z</dcterms:modified>
  <cp:category/>
  <cp:version/>
  <cp:contentType/>
  <cp:contentStatus/>
</cp:coreProperties>
</file>